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35" yWindow="32760" windowWidth="6330" windowHeight="5085" activeTab="0"/>
  </bookViews>
  <sheets>
    <sheet name="Bewertung" sheetId="1" r:id="rId1"/>
    <sheet name="Einzelbaumschätztabellen_WBR" sheetId="2" r:id="rId2"/>
    <sheet name="Parameter_Kronenbreite" sheetId="3" r:id="rId3"/>
  </sheets>
  <definedNames>
    <definedName name="_xlfn.SINGLE" hidden="1">#NAME?</definedName>
    <definedName name="Birke">'Einzelbaumschätztabellen_WBR'!$F$34:$I$58</definedName>
    <definedName name="Birke0">'Parameter_Kronenbreite'!$E$5</definedName>
    <definedName name="Birke1">'Parameter_Kronenbreite'!$E$6</definedName>
    <definedName name="Birke3">'Parameter_Kronenbreite'!$E$7</definedName>
    <definedName name="Birke4">'Parameter_Kronenbreite'!$E$8</definedName>
    <definedName name="Buche">'Einzelbaumschätztabellen_WBR'!$F$7:$I$31</definedName>
    <definedName name="Buche0">'Parameter_Kronenbreite'!$C$5</definedName>
    <definedName name="Buche1">'Parameter_Kronenbreite'!$C$6</definedName>
    <definedName name="Buche3">'Parameter_Kronenbreite'!$C$7</definedName>
    <definedName name="Buche4">'Parameter_Kronenbreite'!$C$8</definedName>
    <definedName name="Douglasie">'Einzelbaumschätztabellen_WBR'!$B$88:$E$112</definedName>
    <definedName name="Douglasie0">'Parameter_Kronenbreite'!$I$5</definedName>
    <definedName name="Douglasie1">'Parameter_Kronenbreite'!$I$6</definedName>
    <definedName name="Douglasie3">'Parameter_Kronenbreite'!$I$7</definedName>
    <definedName name="Douglasie4">'Parameter_Kronenbreite'!$I$8</definedName>
    <definedName name="Eiche">'Einzelbaumschätztabellen_WBR'!$B$7:$E$31</definedName>
    <definedName name="Eiche0">'Parameter_Kronenbreite'!$D$5</definedName>
    <definedName name="Eiche1">'Parameter_Kronenbreite'!$D$6</definedName>
    <definedName name="Eiche3">'Parameter_Kronenbreite'!$D$7</definedName>
    <definedName name="Eiche4">'Parameter_Kronenbreite'!$D$8</definedName>
    <definedName name="Esche">'Einzelbaumschätztabellen_WBR'!$B$34:$E$58</definedName>
    <definedName name="Esche0">'Parameter_Kronenbreite'!$F$5</definedName>
    <definedName name="Esche1">'Parameter_Kronenbreite'!$F$6</definedName>
    <definedName name="Esche3">'Parameter_Kronenbreite'!$F$7</definedName>
    <definedName name="Esche4">'Parameter_Kronenbreite'!$F$8</definedName>
    <definedName name="Europ._Lärche">'Einzelbaumschätztabellen_WBR'!$F$88:$I$112</definedName>
    <definedName name="Europ._Lärche0">'Parameter_Kronenbreite'!$J$5</definedName>
    <definedName name="Europ._Lärche1">'Parameter_Kronenbreite'!$J$6</definedName>
    <definedName name="Europ._Lärche3">'Parameter_Kronenbreite'!$J$7</definedName>
    <definedName name="Europ._Lärche4">'Parameter_Kronenbreite'!$J$8</definedName>
    <definedName name="Fichte">'Einzelbaumschätztabellen_WBR'!$B$61:$E$85</definedName>
    <definedName name="Fichte0">'Parameter_Kronenbreite'!$G$5</definedName>
    <definedName name="Fichte1">'Parameter_Kronenbreite'!$G$6</definedName>
    <definedName name="Fichte3">'Parameter_Kronenbreite'!$G$7</definedName>
    <definedName name="Fichte4">'Parameter_Kronenbreite'!$G$8</definedName>
    <definedName name="Japan._Lärche">'Einzelbaumschätztabellen_WBR'!#REF!</definedName>
    <definedName name="Japan._Lärche0">'Parameter_Kronenbreite'!$K$5</definedName>
    <definedName name="Japan._Lärche1">'Parameter_Kronenbreite'!$K$6</definedName>
    <definedName name="Japan._Lärche3">'Parameter_Kronenbreite'!$K$7</definedName>
    <definedName name="Japan._Lärche4">'Parameter_Kronenbreite'!$K$8</definedName>
    <definedName name="Kiefer">'Einzelbaumschätztabellen_WBR'!$F$61:$I$85</definedName>
    <definedName name="Kiefer0">'Parameter_Kronenbreite'!$H$5</definedName>
    <definedName name="Kiefer1">'Parameter_Kronenbreite'!$H$6</definedName>
    <definedName name="Kiefer3">'Parameter_Kronenbreite'!$H$7</definedName>
    <definedName name="Kiefer4">'Parameter_Kronenbreite'!$H$8</definedName>
  </definedNames>
  <calcPr fullCalcOnLoad="1"/>
</workbook>
</file>

<file path=xl/sharedStrings.xml><?xml version="1.0" encoding="utf-8"?>
<sst xmlns="http://schemas.openxmlformats.org/spreadsheetml/2006/main" count="376" uniqueCount="74">
  <si>
    <t>Baumart</t>
  </si>
  <si>
    <t>Buche</t>
  </si>
  <si>
    <t>EUR</t>
  </si>
  <si>
    <t>cm</t>
  </si>
  <si>
    <t>BHD</t>
  </si>
  <si>
    <t>Kalkulationszins</t>
  </si>
  <si>
    <t>EUR/a</t>
  </si>
  <si>
    <t>qm</t>
  </si>
  <si>
    <t>Summe jährl. Belastung</t>
  </si>
  <si>
    <t>Barwert/ Jetztwert der jährl. Beträge</t>
  </si>
  <si>
    <t>SUMME</t>
  </si>
  <si>
    <t>E I C H E</t>
  </si>
  <si>
    <t>B U C H E</t>
  </si>
  <si>
    <t>Wertkl. 2</t>
  </si>
  <si>
    <t>Wertkl. 3</t>
  </si>
  <si>
    <t>Wertkl. 4</t>
  </si>
  <si>
    <t>(cm)</t>
  </si>
  <si>
    <t>Aa</t>
  </si>
  <si>
    <t>E S C H E</t>
  </si>
  <si>
    <t>B I R K E</t>
  </si>
  <si>
    <t>F I C H T E</t>
  </si>
  <si>
    <t>K I E F E R</t>
  </si>
  <si>
    <t>E U R O P. L Ä R C H E</t>
  </si>
  <si>
    <t>Fichte</t>
  </si>
  <si>
    <t>Eiche</t>
  </si>
  <si>
    <t>Esche</t>
  </si>
  <si>
    <t>Birke</t>
  </si>
  <si>
    <t>Kiefer</t>
  </si>
  <si>
    <t>Douglasie</t>
  </si>
  <si>
    <t>Europ._Lärche</t>
  </si>
  <si>
    <t>Japan._Lärche</t>
  </si>
  <si>
    <t>p0</t>
  </si>
  <si>
    <t>p1</t>
  </si>
  <si>
    <t>p3</t>
  </si>
  <si>
    <t>p4</t>
  </si>
  <si>
    <t>Periodendauer in Jahren</t>
  </si>
  <si>
    <t>Abtriebswert des Einzel-baumes</t>
  </si>
  <si>
    <t>jährl. Wertverlust (Annuität)</t>
  </si>
  <si>
    <t>D O U G L A S I E</t>
  </si>
  <si>
    <t>Aa = Abtriebswert</t>
  </si>
  <si>
    <t>Kalkulationsvorgaben</t>
  </si>
  <si>
    <t>Bodenbruttorente in EUR/ha/a</t>
  </si>
  <si>
    <t>sonst. Erschwernisse in EUR/Baum/a</t>
  </si>
  <si>
    <t xml:space="preserve">Die Abtriebswerte ab einem BHD von 60 cm (ggf. auch 40/50 cm) sind unter der Annahme abnehmender Wertsteigerungsprozente fortgeschrieben </t>
  </si>
  <si>
    <r>
      <t xml:space="preserve">Parameter zur Schätzung der Kronenbreite (cw) mit der Formel cw=(p0+p1*BHD)*(1-exp(-(BHD/p3)^p4)) nach NAGEL 2009 </t>
    </r>
    <r>
      <rPr>
        <sz val="12"/>
        <rFont val="Arial"/>
        <family val="2"/>
      </rPr>
      <t>(Handbuch zur Waldwachstumssimulation mit dem Java Software Paket TreeGrOSS)</t>
    </r>
  </si>
  <si>
    <t>Qualitäts-stufe</t>
  </si>
  <si>
    <t>in %</t>
  </si>
  <si>
    <t>Baumdaten</t>
  </si>
  <si>
    <t>Wertminderung</t>
  </si>
  <si>
    <t>Zinsverlust</t>
  </si>
  <si>
    <t>Belastung</t>
  </si>
  <si>
    <t>Nr</t>
  </si>
  <si>
    <t>jährl. Zinskosten</t>
  </si>
  <si>
    <t>Entgelt</t>
  </si>
  <si>
    <t>erwartete Wertmind. der Periode</t>
  </si>
  <si>
    <t>Ertragsverlust</t>
  </si>
  <si>
    <t>Sonstiges</t>
  </si>
  <si>
    <t>sonst. jährl. Erschwer-nisse</t>
  </si>
  <si>
    <t xml:space="preserve">jährl. Entgang Boden-bruttorente </t>
  </si>
  <si>
    <t>Vertragsabschlussfaktor</t>
  </si>
  <si>
    <t>jährl. Betrag (incl. Vertrags-abschluss-faktor)</t>
  </si>
  <si>
    <t>Über-schir-mungs-faktor</t>
  </si>
  <si>
    <t>normale Kronen-schirm-fläche</t>
  </si>
  <si>
    <t>Einzelbaumabtriebswerte in Euro/Baum entspechend der WBR-Niedersachsen 2014 Nr.26 (Anlage 3.2.1); berechnet von Herrn Rummel (Nds. Landesforsten)</t>
  </si>
  <si>
    <t>Lärche</t>
  </si>
  <si>
    <t>Einzelbaumbewertung für den Vertragsnaturschutz 2018</t>
  </si>
  <si>
    <t>Eiche 2010</t>
  </si>
  <si>
    <t>E I C H E 2018</t>
  </si>
  <si>
    <t>Esche 2010</t>
  </si>
  <si>
    <t>Fichte 2010</t>
  </si>
  <si>
    <t>Douglasie 2010</t>
  </si>
  <si>
    <t>Buche 2010</t>
  </si>
  <si>
    <t>Kiefer 2010</t>
  </si>
  <si>
    <t>Europäische Lärche 2010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</si>
</sst>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\ &quot;DM&quot;"/>
    <numFmt numFmtId="175" formatCode="0.0"/>
    <numFmt numFmtId="176" formatCode="0.000"/>
    <numFmt numFmtId="177" formatCode="#,##0\ _€"/>
    <numFmt numFmtId="178" formatCode="_-* #,##0.000\ &quot;DM&quot;_-;\-* #,##0.000\ &quot;DM&quot;_-;_-* &quot;-&quot;??\ &quot;DM&quot;_-;_-@_-"/>
    <numFmt numFmtId="179" formatCode="_-* #,##0.0\ &quot;DM&quot;_-;\-* #,##0.0\ &quot;DM&quot;_-;_-* &quot;-&quot;??\ &quot;DM&quot;_-;_-@_-"/>
    <numFmt numFmtId="180" formatCode="_-* #,##0\ &quot;DM&quot;_-;\-* #,##0\ &quot;DM&quot;_-;_-* &quot;-&quot;??\ &quot;DM&quot;_-;_-@_-"/>
    <numFmt numFmtId="181" formatCode="0.0000000"/>
    <numFmt numFmtId="182" formatCode="0.000000"/>
    <numFmt numFmtId="183" formatCode="0.00000"/>
    <numFmt numFmtId="184" formatCode="0.0000"/>
    <numFmt numFmtId="185" formatCode="#,##0_ ;\-#,##0\ "/>
    <numFmt numFmtId="186" formatCode="0.0%"/>
    <numFmt numFmtId="187" formatCode="#,##0.000"/>
    <numFmt numFmtId="188" formatCode="#,##0.0000"/>
    <numFmt numFmtId="189" formatCode="#,##0.0"/>
    <numFmt numFmtId="190" formatCode="#,##0.00000"/>
    <numFmt numFmtId="191" formatCode="&quot;[&quot;0.00&quot;]&quot;"/>
    <numFmt numFmtId="192" formatCode="&quot;[&quot;0.0&quot;]&quot;"/>
    <numFmt numFmtId="193" formatCode="&quot;[&quot;0&quot;]&quot;"/>
    <numFmt numFmtId="194" formatCode="&quot;[&quot;0.000&quot;]&quot;"/>
    <numFmt numFmtId="195" formatCode="&quot;[&quot;0.0000&quot;]&quot;"/>
    <numFmt numFmtId="196" formatCode="&quot;[=&quot;\ 0.0000&quot;]&quot;"/>
    <numFmt numFmtId="197" formatCode="&quot;[=&quot;0.0000&quot;]&quot;"/>
    <numFmt numFmtId="198" formatCode="&quot;(=&quot;\ 0%\ &quot;Wertverlust)&quot;"/>
    <numFmt numFmtId="199" formatCode="&quot; (=&quot;\ 0%\ &quot;Wertverlust)&quot;"/>
    <numFmt numFmtId="200" formatCode="&quot;[=&quot;0.000&quot;]&quot;"/>
    <numFmt numFmtId="201" formatCode="&quot;[=&quot;0.00000&quot;]&quot;"/>
    <numFmt numFmtId="202" formatCode="0.0\ &quot;Jahren&quot;"/>
    <numFmt numFmtId="203" formatCode="&quot;(=&quot;\ 0\ %\ &quot;Wertverlust)&quot;"/>
    <numFmt numFmtId="204" formatCode="0.00000000"/>
    <numFmt numFmtId="205" formatCode="&quot;(=&quot;\ \+\ 0%\)"/>
    <numFmt numFmtId="206" formatCode="#,##0.00\ &quot;€&quot;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_(&quot;$&quot;* #,##0_);_(&quot;$&quot;* \(#,##0\);_(&quot;$&quot;* &quot;-&quot;_);_(@_)"/>
    <numFmt numFmtId="212" formatCode="_(* #,##0_);_(* \(#,##0\);_(* &quot;-&quot;_);_(@_)"/>
    <numFmt numFmtId="213" formatCode="_(&quot;$&quot;* #,##0.00_);_(&quot;$&quot;* \(#,##0.00\);_(&quot;$&quot;* &quot;-&quot;??_);_(@_)"/>
    <numFmt numFmtId="214" formatCode="_(* #,##0.00_);_(* \(#,##0.00\);_(* &quot;-&quot;??_);_(@_)"/>
    <numFmt numFmtId="215" formatCode="mmmm\ d\,\ yyyy"/>
    <numFmt numFmtId="216" formatCode="0.000000000"/>
    <numFmt numFmtId="217" formatCode="0.0000000000"/>
    <numFmt numFmtId="218" formatCode="#,#00"/>
  </numFmts>
  <fonts count="6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MS Sans Serif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.45"/>
      <color indexed="8"/>
      <name val="Arial"/>
      <family val="0"/>
    </font>
    <font>
      <sz val="18"/>
      <color indexed="8"/>
      <name val="Calibri"/>
      <family val="0"/>
    </font>
    <font>
      <b/>
      <sz val="18"/>
      <color indexed="8"/>
      <name val="Calibri"/>
      <family val="0"/>
    </font>
    <font>
      <sz val="16.5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9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medium"/>
      <right style="thin"/>
      <top style="thin"/>
      <bottom style="dotted"/>
    </border>
    <border>
      <left style="thin"/>
      <right style="dotted"/>
      <top style="thin"/>
      <bottom style="dotted"/>
    </border>
    <border>
      <left style="medium"/>
      <right style="thin"/>
      <top style="dotted"/>
      <bottom style="thin"/>
    </border>
    <border>
      <left style="thin"/>
      <right style="dotted"/>
      <top style="dotted"/>
      <bottom style="thin"/>
    </border>
    <border>
      <left style="medium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dotted"/>
      <top style="dott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17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74">
    <xf numFmtId="0" fontId="0" fillId="0" borderId="0" xfId="0" applyAlignment="1">
      <alignment/>
    </xf>
    <xf numFmtId="0" fontId="0" fillId="0" borderId="0" xfId="0" applyBorder="1" applyAlignment="1">
      <alignment/>
    </xf>
    <xf numFmtId="16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7" fillId="0" borderId="12" xfId="53" applyFont="1" applyBorder="1">
      <alignment/>
      <protection/>
    </xf>
    <xf numFmtId="0" fontId="7" fillId="0" borderId="13" xfId="53" applyFont="1" applyBorder="1">
      <alignment/>
      <protection/>
    </xf>
    <xf numFmtId="0" fontId="7" fillId="0" borderId="14" xfId="53" applyFont="1" applyBorder="1">
      <alignment/>
      <protection/>
    </xf>
    <xf numFmtId="0" fontId="8" fillId="0" borderId="14" xfId="53" applyFont="1" applyBorder="1">
      <alignment/>
      <protection/>
    </xf>
    <xf numFmtId="0" fontId="5" fillId="0" borderId="0" xfId="53">
      <alignment/>
      <protection/>
    </xf>
    <xf numFmtId="0" fontId="7" fillId="0" borderId="15" xfId="53" applyFont="1" applyBorder="1">
      <alignment/>
      <protection/>
    </xf>
    <xf numFmtId="0" fontId="7" fillId="0" borderId="0" xfId="53" applyFont="1" applyBorder="1">
      <alignment/>
      <protection/>
    </xf>
    <xf numFmtId="0" fontId="7" fillId="0" borderId="15" xfId="53" applyFont="1" applyBorder="1" applyAlignment="1">
      <alignment horizontal="center"/>
      <protection/>
    </xf>
    <xf numFmtId="0" fontId="7" fillId="0" borderId="16" xfId="53" applyFont="1" applyBorder="1" applyAlignment="1">
      <alignment horizontal="center"/>
      <protection/>
    </xf>
    <xf numFmtId="0" fontId="7" fillId="0" borderId="17" xfId="53" applyFont="1" applyBorder="1" applyAlignment="1">
      <alignment horizontal="center"/>
      <protection/>
    </xf>
    <xf numFmtId="0" fontId="9" fillId="0" borderId="18" xfId="53" applyFont="1" applyBorder="1" applyAlignment="1">
      <alignment horizontal="center"/>
      <protection/>
    </xf>
    <xf numFmtId="175" fontId="7" fillId="0" borderId="19" xfId="53" applyNumberFormat="1" applyFont="1" applyBorder="1" applyAlignment="1">
      <alignment horizontal="center"/>
      <protection/>
    </xf>
    <xf numFmtId="0" fontId="9" fillId="0" borderId="20" xfId="53" applyFont="1" applyBorder="1" applyAlignment="1">
      <alignment horizontal="center"/>
      <protection/>
    </xf>
    <xf numFmtId="175" fontId="7" fillId="0" borderId="21" xfId="53" applyNumberFormat="1" applyFont="1" applyBorder="1" applyAlignment="1">
      <alignment horizontal="center"/>
      <protection/>
    </xf>
    <xf numFmtId="0" fontId="9" fillId="0" borderId="22" xfId="53" applyFont="1" applyBorder="1" applyAlignment="1">
      <alignment horizontal="center"/>
      <protection/>
    </xf>
    <xf numFmtId="175" fontId="7" fillId="0" borderId="23" xfId="53" applyNumberFormat="1" applyFont="1" applyBorder="1" applyAlignment="1">
      <alignment horizontal="center"/>
      <protection/>
    </xf>
    <xf numFmtId="0" fontId="9" fillId="0" borderId="24" xfId="53" applyFont="1" applyBorder="1" applyAlignment="1">
      <alignment horizontal="center"/>
      <protection/>
    </xf>
    <xf numFmtId="175" fontId="7" fillId="0" borderId="25" xfId="53" applyNumberFormat="1" applyFont="1" applyBorder="1" applyAlignment="1">
      <alignment horizontal="center"/>
      <protection/>
    </xf>
    <xf numFmtId="0" fontId="9" fillId="0" borderId="26" xfId="53" applyFont="1" applyBorder="1" applyAlignment="1">
      <alignment horizontal="center"/>
      <protection/>
    </xf>
    <xf numFmtId="175" fontId="7" fillId="0" borderId="27" xfId="53" applyNumberFormat="1" applyFont="1" applyBorder="1" applyAlignment="1">
      <alignment horizontal="center"/>
      <protection/>
    </xf>
    <xf numFmtId="0" fontId="9" fillId="0" borderId="28" xfId="53" applyFont="1" applyBorder="1" applyAlignment="1">
      <alignment horizontal="center"/>
      <protection/>
    </xf>
    <xf numFmtId="175" fontId="7" fillId="0" borderId="29" xfId="53" applyNumberFormat="1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175" fontId="7" fillId="0" borderId="0" xfId="53" applyNumberFormat="1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11" fillId="0" borderId="30" xfId="53" applyFont="1" applyBorder="1" applyAlignment="1">
      <alignment horizontal="center"/>
      <protection/>
    </xf>
    <xf numFmtId="182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182" fontId="0" fillId="0" borderId="31" xfId="0" applyNumberFormat="1" applyBorder="1" applyAlignment="1">
      <alignment/>
    </xf>
    <xf numFmtId="182" fontId="0" fillId="0" borderId="32" xfId="0" applyNumberFormat="1" applyBorder="1" applyAlignment="1">
      <alignment/>
    </xf>
    <xf numFmtId="182" fontId="0" fillId="0" borderId="10" xfId="0" applyNumberFormat="1" applyBorder="1" applyAlignment="1">
      <alignment/>
    </xf>
    <xf numFmtId="182" fontId="0" fillId="0" borderId="11" xfId="0" applyNumberFormat="1" applyBorder="1" applyAlignment="1">
      <alignment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82" fontId="0" fillId="0" borderId="35" xfId="0" applyNumberFormat="1" applyBorder="1" applyAlignment="1">
      <alignment/>
    </xf>
    <xf numFmtId="182" fontId="0" fillId="0" borderId="36" xfId="0" applyNumberFormat="1" applyBorder="1" applyAlignment="1">
      <alignment/>
    </xf>
    <xf numFmtId="182" fontId="0" fillId="0" borderId="37" xfId="0" applyNumberFormat="1" applyBorder="1" applyAlignment="1">
      <alignment/>
    </xf>
    <xf numFmtId="182" fontId="0" fillId="0" borderId="38" xfId="0" applyNumberFormat="1" applyBorder="1" applyAlignment="1">
      <alignment/>
    </xf>
    <xf numFmtId="182" fontId="0" fillId="0" borderId="39" xfId="0" applyNumberFormat="1" applyBorder="1" applyAlignment="1">
      <alignment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7" fillId="0" borderId="45" xfId="53" applyFont="1" applyBorder="1">
      <alignment/>
      <protection/>
    </xf>
    <xf numFmtId="0" fontId="11" fillId="0" borderId="46" xfId="53" applyFont="1" applyBorder="1" applyAlignment="1">
      <alignment horizontal="center"/>
      <protection/>
    </xf>
    <xf numFmtId="0" fontId="7" fillId="0" borderId="46" xfId="53" applyFont="1" applyBorder="1" applyAlignment="1">
      <alignment horizontal="center"/>
      <protection/>
    </xf>
    <xf numFmtId="175" fontId="7" fillId="0" borderId="47" xfId="53" applyNumberFormat="1" applyFont="1" applyBorder="1" applyAlignment="1">
      <alignment horizontal="center"/>
      <protection/>
    </xf>
    <xf numFmtId="175" fontId="7" fillId="0" borderId="48" xfId="53" applyNumberFormat="1" applyFont="1" applyBorder="1" applyAlignment="1">
      <alignment horizontal="center"/>
      <protection/>
    </xf>
    <xf numFmtId="175" fontId="7" fillId="0" borderId="49" xfId="53" applyNumberFormat="1" applyFont="1" applyBorder="1" applyAlignment="1">
      <alignment horizontal="center"/>
      <protection/>
    </xf>
    <xf numFmtId="175" fontId="7" fillId="0" borderId="50" xfId="53" applyNumberFormat="1" applyFont="1" applyBorder="1" applyAlignment="1">
      <alignment horizontal="center"/>
      <protection/>
    </xf>
    <xf numFmtId="175" fontId="7" fillId="0" borderId="51" xfId="53" applyNumberFormat="1" applyFont="1" applyBorder="1" applyAlignment="1">
      <alignment horizontal="center"/>
      <protection/>
    </xf>
    <xf numFmtId="175" fontId="7" fillId="0" borderId="52" xfId="53" applyNumberFormat="1" applyFont="1" applyBorder="1" applyAlignment="1">
      <alignment horizontal="center"/>
      <protection/>
    </xf>
    <xf numFmtId="0" fontId="13" fillId="0" borderId="0" xfId="53" applyFont="1">
      <alignment/>
      <protection/>
    </xf>
    <xf numFmtId="0" fontId="14" fillId="0" borderId="0" xfId="0" applyFont="1" applyAlignment="1">
      <alignment/>
    </xf>
    <xf numFmtId="0" fontId="7" fillId="0" borderId="53" xfId="53" applyFont="1" applyBorder="1" applyAlignment="1">
      <alignment horizontal="center"/>
      <protection/>
    </xf>
    <xf numFmtId="0" fontId="7" fillId="0" borderId="54" xfId="53" applyFont="1" applyBorder="1" applyAlignment="1">
      <alignment horizontal="center"/>
      <protection/>
    </xf>
    <xf numFmtId="0" fontId="7" fillId="0" borderId="55" xfId="53" applyFont="1" applyBorder="1">
      <alignment/>
      <protection/>
    </xf>
    <xf numFmtId="0" fontId="10" fillId="0" borderId="56" xfId="53" applyFont="1" applyBorder="1" applyAlignment="1">
      <alignment horizontal="center"/>
      <protection/>
    </xf>
    <xf numFmtId="0" fontId="7" fillId="0" borderId="57" xfId="53" applyFont="1" applyBorder="1">
      <alignment/>
      <protection/>
    </xf>
    <xf numFmtId="0" fontId="7" fillId="0" borderId="58" xfId="53" applyFont="1" applyBorder="1" applyAlignment="1">
      <alignment horizontal="center"/>
      <protection/>
    </xf>
    <xf numFmtId="0" fontId="11" fillId="0" borderId="59" xfId="53" applyFont="1" applyBorder="1" applyAlignment="1">
      <alignment horizontal="center"/>
      <protection/>
    </xf>
    <xf numFmtId="175" fontId="7" fillId="0" borderId="60" xfId="53" applyNumberFormat="1" applyFont="1" applyBorder="1" applyAlignment="1">
      <alignment horizontal="center"/>
      <protection/>
    </xf>
    <xf numFmtId="175" fontId="7" fillId="0" borderId="61" xfId="53" applyNumberFormat="1" applyFont="1" applyBorder="1" applyAlignment="1">
      <alignment horizontal="center"/>
      <protection/>
    </xf>
    <xf numFmtId="175" fontId="7" fillId="0" borderId="62" xfId="53" applyNumberFormat="1" applyFont="1" applyBorder="1" applyAlignment="1">
      <alignment horizontal="center"/>
      <protection/>
    </xf>
    <xf numFmtId="175" fontId="7" fillId="0" borderId="63" xfId="53" applyNumberFormat="1" applyFont="1" applyBorder="1" applyAlignment="1">
      <alignment horizontal="center"/>
      <protection/>
    </xf>
    <xf numFmtId="175" fontId="7" fillId="0" borderId="64" xfId="53" applyNumberFormat="1" applyFont="1" applyBorder="1" applyAlignment="1">
      <alignment horizontal="center"/>
      <protection/>
    </xf>
    <xf numFmtId="189" fontId="7" fillId="0" borderId="62" xfId="53" applyNumberFormat="1" applyFont="1" applyBorder="1" applyAlignment="1">
      <alignment horizontal="center"/>
      <protection/>
    </xf>
    <xf numFmtId="189" fontId="7" fillId="0" borderId="63" xfId="53" applyNumberFormat="1" applyFont="1" applyBorder="1" applyAlignment="1">
      <alignment horizontal="center"/>
      <protection/>
    </xf>
    <xf numFmtId="189" fontId="7" fillId="0" borderId="64" xfId="53" applyNumberFormat="1" applyFont="1" applyBorder="1" applyAlignment="1">
      <alignment horizontal="center"/>
      <protection/>
    </xf>
    <xf numFmtId="189" fontId="7" fillId="0" borderId="65" xfId="53" applyNumberFormat="1" applyFont="1" applyBorder="1" applyAlignment="1">
      <alignment horizontal="center"/>
      <protection/>
    </xf>
    <xf numFmtId="175" fontId="7" fillId="0" borderId="65" xfId="53" applyNumberFormat="1" applyFont="1" applyBorder="1" applyAlignment="1">
      <alignment horizontal="center"/>
      <protection/>
    </xf>
    <xf numFmtId="0" fontId="10" fillId="0" borderId="66" xfId="53" applyFont="1" applyBorder="1" applyAlignment="1">
      <alignment horizontal="center"/>
      <protection/>
    </xf>
    <xf numFmtId="0" fontId="5" fillId="0" borderId="0" xfId="53" applyFont="1" applyAlignment="1">
      <alignment/>
      <protection/>
    </xf>
    <xf numFmtId="0" fontId="1" fillId="0" borderId="0" xfId="0" applyFont="1" applyAlignment="1">
      <alignment/>
    </xf>
    <xf numFmtId="0" fontId="0" fillId="0" borderId="31" xfId="0" applyBorder="1" applyAlignment="1">
      <alignment horizontal="left"/>
    </xf>
    <xf numFmtId="0" fontId="10" fillId="0" borderId="57" xfId="53" applyFont="1" applyBorder="1" applyAlignment="1">
      <alignment horizontal="center"/>
      <protection/>
    </xf>
    <xf numFmtId="0" fontId="0" fillId="0" borderId="67" xfId="0" applyBorder="1" applyAlignment="1">
      <alignment horizontal="left"/>
    </xf>
    <xf numFmtId="0" fontId="0" fillId="0" borderId="68" xfId="0" applyBorder="1" applyAlignment="1">
      <alignment horizontal="left"/>
    </xf>
    <xf numFmtId="0" fontId="0" fillId="0" borderId="14" xfId="0" applyBorder="1" applyAlignment="1">
      <alignment/>
    </xf>
    <xf numFmtId="0" fontId="0" fillId="0" borderId="45" xfId="0" applyBorder="1" applyAlignment="1">
      <alignment/>
    </xf>
    <xf numFmtId="0" fontId="0" fillId="0" borderId="38" xfId="0" applyBorder="1" applyAlignment="1">
      <alignment horizontal="left"/>
    </xf>
    <xf numFmtId="0" fontId="15" fillId="0" borderId="69" xfId="0" applyFont="1" applyBorder="1" applyAlignment="1">
      <alignment vertical="center"/>
    </xf>
    <xf numFmtId="0" fontId="10" fillId="0" borderId="55" xfId="53" applyFont="1" applyBorder="1" applyAlignment="1">
      <alignment horizontal="left"/>
      <protection/>
    </xf>
    <xf numFmtId="175" fontId="7" fillId="0" borderId="64" xfId="53" applyNumberFormat="1" applyFont="1" applyBorder="1">
      <alignment/>
      <protection/>
    </xf>
    <xf numFmtId="0" fontId="7" fillId="0" borderId="0" xfId="53" applyFont="1" applyAlignment="1">
      <alignment horizontal="left" vertical="center"/>
      <protection/>
    </xf>
    <xf numFmtId="0" fontId="7" fillId="0" borderId="66" xfId="53" applyFont="1" applyBorder="1" applyAlignment="1">
      <alignment/>
      <protection/>
    </xf>
    <xf numFmtId="0" fontId="7" fillId="0" borderId="57" xfId="53" applyFont="1" applyBorder="1" applyAlignment="1">
      <alignment/>
      <protection/>
    </xf>
    <xf numFmtId="0" fontId="0" fillId="0" borderId="0" xfId="0" applyFont="1" applyAlignment="1">
      <alignment/>
    </xf>
    <xf numFmtId="0" fontId="0" fillId="0" borderId="70" xfId="0" applyBorder="1" applyAlignment="1">
      <alignment horizontal="center" wrapText="1"/>
    </xf>
    <xf numFmtId="0" fontId="0" fillId="0" borderId="70" xfId="0" applyFill="1" applyBorder="1" applyAlignment="1">
      <alignment horizontal="center" wrapText="1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73" xfId="0" applyFill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0" fontId="0" fillId="0" borderId="74" xfId="0" applyFill="1" applyBorder="1" applyAlignment="1">
      <alignment horizontal="center" wrapText="1"/>
    </xf>
    <xf numFmtId="0" fontId="0" fillId="0" borderId="73" xfId="0" applyBorder="1" applyAlignment="1">
      <alignment horizontal="center" wrapText="1"/>
    </xf>
    <xf numFmtId="0" fontId="0" fillId="0" borderId="75" xfId="0" applyFill="1" applyBorder="1" applyAlignment="1">
      <alignment horizontal="center" wrapText="1"/>
    </xf>
    <xf numFmtId="0" fontId="1" fillId="0" borderId="76" xfId="0" applyFont="1" applyBorder="1" applyAlignment="1">
      <alignment horizontal="center"/>
    </xf>
    <xf numFmtId="0" fontId="0" fillId="0" borderId="41" xfId="0" applyFill="1" applyBorder="1" applyAlignment="1">
      <alignment horizontal="center" wrapText="1"/>
    </xf>
    <xf numFmtId="0" fontId="18" fillId="0" borderId="77" xfId="0" applyFont="1" applyBorder="1" applyAlignment="1">
      <alignment horizontal="center" wrapText="1"/>
    </xf>
    <xf numFmtId="0" fontId="18" fillId="0" borderId="56" xfId="0" applyFont="1" applyBorder="1" applyAlignment="1">
      <alignment horizontal="center" wrapText="1"/>
    </xf>
    <xf numFmtId="0" fontId="18" fillId="0" borderId="78" xfId="0" applyFont="1" applyBorder="1" applyAlignment="1">
      <alignment horizontal="center" wrapText="1"/>
    </xf>
    <xf numFmtId="0" fontId="18" fillId="0" borderId="55" xfId="0" applyFont="1" applyBorder="1" applyAlignment="1">
      <alignment horizontal="center" wrapText="1"/>
    </xf>
    <xf numFmtId="0" fontId="18" fillId="0" borderId="32" xfId="0" applyFont="1" applyFill="1" applyBorder="1" applyAlignment="1">
      <alignment horizontal="center" wrapText="1"/>
    </xf>
    <xf numFmtId="0" fontId="18" fillId="0" borderId="66" xfId="0" applyFont="1" applyFill="1" applyBorder="1" applyAlignment="1">
      <alignment horizontal="center" wrapText="1"/>
    </xf>
    <xf numFmtId="0" fontId="18" fillId="0" borderId="77" xfId="0" applyFont="1" applyFill="1" applyBorder="1" applyAlignment="1">
      <alignment horizontal="center" wrapText="1"/>
    </xf>
    <xf numFmtId="0" fontId="18" fillId="0" borderId="79" xfId="0" applyFont="1" applyFill="1" applyBorder="1" applyAlignment="1">
      <alignment horizontal="center" wrapText="1"/>
    </xf>
    <xf numFmtId="0" fontId="18" fillId="0" borderId="56" xfId="0" applyFont="1" applyFill="1" applyBorder="1" applyAlignment="1">
      <alignment horizontal="center" wrapText="1"/>
    </xf>
    <xf numFmtId="0" fontId="18" fillId="0" borderId="55" xfId="0" applyFont="1" applyFill="1" applyBorder="1" applyAlignment="1">
      <alignment horizontal="center" wrapText="1"/>
    </xf>
    <xf numFmtId="0" fontId="18" fillId="0" borderId="80" xfId="0" applyFont="1" applyFill="1" applyBorder="1" applyAlignment="1">
      <alignment horizontal="center" wrapText="1"/>
    </xf>
    <xf numFmtId="0" fontId="18" fillId="0" borderId="43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175" fontId="59" fillId="0" borderId="25" xfId="53" applyNumberFormat="1" applyFont="1" applyBorder="1" applyAlignment="1">
      <alignment horizontal="center"/>
      <protection/>
    </xf>
    <xf numFmtId="189" fontId="59" fillId="0" borderId="63" xfId="53" applyNumberFormat="1" applyFont="1" applyBorder="1" applyAlignment="1">
      <alignment horizontal="center"/>
      <protection/>
    </xf>
    <xf numFmtId="175" fontId="59" fillId="0" borderId="50" xfId="53" applyNumberFormat="1" applyFont="1" applyBorder="1" applyAlignment="1">
      <alignment horizontal="center"/>
      <protection/>
    </xf>
    <xf numFmtId="175" fontId="59" fillId="0" borderId="27" xfId="53" applyNumberFormat="1" applyFont="1" applyBorder="1" applyAlignment="1">
      <alignment horizontal="center"/>
      <protection/>
    </xf>
    <xf numFmtId="189" fontId="59" fillId="0" borderId="64" xfId="53" applyNumberFormat="1" applyFont="1" applyBorder="1" applyAlignment="1">
      <alignment horizontal="center"/>
      <protection/>
    </xf>
    <xf numFmtId="175" fontId="59" fillId="0" borderId="51" xfId="53" applyNumberFormat="1" applyFont="1" applyBorder="1" applyAlignment="1">
      <alignment horizontal="center"/>
      <protection/>
    </xf>
    <xf numFmtId="175" fontId="59" fillId="0" borderId="23" xfId="53" applyNumberFormat="1" applyFont="1" applyBorder="1" applyAlignment="1">
      <alignment horizontal="center"/>
      <protection/>
    </xf>
    <xf numFmtId="175" fontId="59" fillId="0" borderId="63" xfId="53" applyNumberFormat="1" applyFont="1" applyBorder="1" applyAlignment="1">
      <alignment horizontal="center"/>
      <protection/>
    </xf>
    <xf numFmtId="175" fontId="59" fillId="0" borderId="64" xfId="53" applyNumberFormat="1" applyFont="1" applyBorder="1" applyAlignment="1">
      <alignment horizontal="center"/>
      <protection/>
    </xf>
    <xf numFmtId="175" fontId="59" fillId="0" borderId="61" xfId="53" applyNumberFormat="1" applyFont="1" applyBorder="1" applyAlignment="1">
      <alignment horizontal="center"/>
      <protection/>
    </xf>
    <xf numFmtId="175" fontId="59" fillId="0" borderId="21" xfId="53" applyNumberFormat="1" applyFont="1" applyBorder="1" applyAlignment="1">
      <alignment horizontal="center"/>
      <protection/>
    </xf>
    <xf numFmtId="175" fontId="59" fillId="0" borderId="48" xfId="53" applyNumberFormat="1" applyFont="1" applyBorder="1" applyAlignment="1">
      <alignment horizontal="center"/>
      <protection/>
    </xf>
    <xf numFmtId="175" fontId="59" fillId="0" borderId="62" xfId="53" applyNumberFormat="1" applyFont="1" applyBorder="1" applyAlignment="1">
      <alignment horizontal="center"/>
      <protection/>
    </xf>
    <xf numFmtId="175" fontId="59" fillId="0" borderId="49" xfId="53" applyNumberFormat="1" applyFont="1" applyBorder="1" applyAlignment="1">
      <alignment horizontal="center"/>
      <protection/>
    </xf>
    <xf numFmtId="175" fontId="59" fillId="0" borderId="81" xfId="53" applyNumberFormat="1" applyFont="1" applyBorder="1" applyAlignment="1">
      <alignment horizontal="center"/>
      <protection/>
    </xf>
    <xf numFmtId="0" fontId="19" fillId="0" borderId="24" xfId="53" applyFont="1" applyBorder="1" applyAlignment="1">
      <alignment horizontal="center"/>
      <protection/>
    </xf>
    <xf numFmtId="0" fontId="19" fillId="0" borderId="26" xfId="53" applyFont="1" applyBorder="1" applyAlignment="1">
      <alignment horizontal="center"/>
      <protection/>
    </xf>
    <xf numFmtId="175" fontId="59" fillId="0" borderId="29" xfId="53" applyNumberFormat="1" applyFont="1" applyBorder="1" applyAlignment="1">
      <alignment horizontal="center"/>
      <protection/>
    </xf>
    <xf numFmtId="189" fontId="59" fillId="0" borderId="65" xfId="53" applyNumberFormat="1" applyFont="1" applyBorder="1" applyAlignment="1">
      <alignment horizontal="center"/>
      <protection/>
    </xf>
    <xf numFmtId="175" fontId="59" fillId="0" borderId="52" xfId="53" applyNumberFormat="1" applyFont="1" applyBorder="1" applyAlignment="1">
      <alignment horizontal="center"/>
      <protection/>
    </xf>
    <xf numFmtId="0" fontId="60" fillId="0" borderId="12" xfId="53" applyFont="1" applyFill="1" applyBorder="1">
      <alignment/>
      <protection/>
    </xf>
    <xf numFmtId="0" fontId="60" fillId="0" borderId="13" xfId="53" applyFont="1" applyFill="1" applyBorder="1">
      <alignment/>
      <protection/>
    </xf>
    <xf numFmtId="0" fontId="61" fillId="0" borderId="14" xfId="53" applyFont="1" applyFill="1" applyBorder="1">
      <alignment/>
      <protection/>
    </xf>
    <xf numFmtId="0" fontId="60" fillId="0" borderId="14" xfId="53" applyFont="1" applyFill="1" applyBorder="1">
      <alignment/>
      <protection/>
    </xf>
    <xf numFmtId="0" fontId="60" fillId="0" borderId="45" xfId="53" applyFont="1" applyFill="1" applyBorder="1">
      <alignment/>
      <protection/>
    </xf>
    <xf numFmtId="0" fontId="60" fillId="0" borderId="15" xfId="53" applyFont="1" applyFill="1" applyBorder="1">
      <alignment/>
      <protection/>
    </xf>
    <xf numFmtId="0" fontId="60" fillId="0" borderId="55" xfId="53" applyFont="1" applyFill="1" applyBorder="1">
      <alignment/>
      <protection/>
    </xf>
    <xf numFmtId="0" fontId="62" fillId="0" borderId="56" xfId="53" applyFont="1" applyFill="1" applyBorder="1" applyAlignment="1">
      <alignment horizontal="center"/>
      <protection/>
    </xf>
    <xf numFmtId="0" fontId="60" fillId="0" borderId="57" xfId="53" applyFont="1" applyFill="1" applyBorder="1">
      <alignment/>
      <protection/>
    </xf>
    <xf numFmtId="0" fontId="60" fillId="0" borderId="15" xfId="53" applyFont="1" applyFill="1" applyBorder="1" applyAlignment="1">
      <alignment horizontal="center"/>
      <protection/>
    </xf>
    <xf numFmtId="0" fontId="63" fillId="0" borderId="30" xfId="53" applyFont="1" applyFill="1" applyBorder="1" applyAlignment="1">
      <alignment horizontal="center"/>
      <protection/>
    </xf>
    <xf numFmtId="0" fontId="63" fillId="0" borderId="46" xfId="53" applyFont="1" applyFill="1" applyBorder="1" applyAlignment="1">
      <alignment horizontal="center"/>
      <protection/>
    </xf>
    <xf numFmtId="0" fontId="60" fillId="0" borderId="16" xfId="53" applyFont="1" applyFill="1" applyBorder="1" applyAlignment="1">
      <alignment horizontal="center"/>
      <protection/>
    </xf>
    <xf numFmtId="0" fontId="60" fillId="0" borderId="17" xfId="53" applyFont="1" applyFill="1" applyBorder="1" applyAlignment="1">
      <alignment horizontal="center"/>
      <protection/>
    </xf>
    <xf numFmtId="0" fontId="60" fillId="0" borderId="46" xfId="53" applyFont="1" applyFill="1" applyBorder="1" applyAlignment="1">
      <alignment horizontal="center"/>
      <protection/>
    </xf>
    <xf numFmtId="0" fontId="64" fillId="0" borderId="18" xfId="53" applyFont="1" applyFill="1" applyBorder="1" applyAlignment="1">
      <alignment horizontal="center"/>
      <protection/>
    </xf>
    <xf numFmtId="175" fontId="60" fillId="0" borderId="19" xfId="53" applyNumberFormat="1" applyFont="1" applyFill="1" applyBorder="1" applyAlignment="1">
      <alignment horizontal="center"/>
      <protection/>
    </xf>
    <xf numFmtId="175" fontId="60" fillId="0" borderId="60" xfId="53" applyNumberFormat="1" applyFont="1" applyFill="1" applyBorder="1" applyAlignment="1">
      <alignment horizontal="center"/>
      <protection/>
    </xf>
    <xf numFmtId="175" fontId="60" fillId="0" borderId="47" xfId="53" applyNumberFormat="1" applyFont="1" applyFill="1" applyBorder="1" applyAlignment="1">
      <alignment horizontal="center"/>
      <protection/>
    </xf>
    <xf numFmtId="0" fontId="64" fillId="0" borderId="20" xfId="53" applyFont="1" applyFill="1" applyBorder="1" applyAlignment="1">
      <alignment horizontal="center"/>
      <protection/>
    </xf>
    <xf numFmtId="175" fontId="60" fillId="0" borderId="21" xfId="53" applyNumberFormat="1" applyFont="1" applyFill="1" applyBorder="1" applyAlignment="1">
      <alignment horizontal="center"/>
      <protection/>
    </xf>
    <xf numFmtId="175" fontId="60" fillId="0" borderId="61" xfId="53" applyNumberFormat="1" applyFont="1" applyFill="1" applyBorder="1" applyAlignment="1">
      <alignment horizontal="center"/>
      <protection/>
    </xf>
    <xf numFmtId="175" fontId="60" fillId="0" borderId="48" xfId="53" applyNumberFormat="1" applyFont="1" applyFill="1" applyBorder="1" applyAlignment="1">
      <alignment horizontal="center"/>
      <protection/>
    </xf>
    <xf numFmtId="0" fontId="64" fillId="0" borderId="22" xfId="53" applyFont="1" applyFill="1" applyBorder="1" applyAlignment="1">
      <alignment horizontal="center"/>
      <protection/>
    </xf>
    <xf numFmtId="175" fontId="60" fillId="0" borderId="23" xfId="53" applyNumberFormat="1" applyFont="1" applyFill="1" applyBorder="1" applyAlignment="1">
      <alignment horizontal="center"/>
      <protection/>
    </xf>
    <xf numFmtId="175" fontId="60" fillId="0" borderId="62" xfId="53" applyNumberFormat="1" applyFont="1" applyFill="1" applyBorder="1" applyAlignment="1">
      <alignment horizontal="center"/>
      <protection/>
    </xf>
    <xf numFmtId="175" fontId="60" fillId="0" borderId="49" xfId="53" applyNumberFormat="1" applyFont="1" applyFill="1" applyBorder="1" applyAlignment="1">
      <alignment horizontal="center"/>
      <protection/>
    </xf>
    <xf numFmtId="0" fontId="64" fillId="0" borderId="24" xfId="53" applyFont="1" applyFill="1" applyBorder="1" applyAlignment="1">
      <alignment horizontal="center"/>
      <protection/>
    </xf>
    <xf numFmtId="175" fontId="60" fillId="0" borderId="25" xfId="53" applyNumberFormat="1" applyFont="1" applyFill="1" applyBorder="1" applyAlignment="1">
      <alignment horizontal="center"/>
      <protection/>
    </xf>
    <xf numFmtId="175" fontId="60" fillId="0" borderId="63" xfId="53" applyNumberFormat="1" applyFont="1" applyFill="1" applyBorder="1" applyAlignment="1">
      <alignment horizontal="center"/>
      <protection/>
    </xf>
    <xf numFmtId="175" fontId="60" fillId="0" borderId="50" xfId="53" applyNumberFormat="1" applyFont="1" applyFill="1" applyBorder="1" applyAlignment="1">
      <alignment horizontal="center"/>
      <protection/>
    </xf>
    <xf numFmtId="0" fontId="64" fillId="0" borderId="26" xfId="53" applyFont="1" applyFill="1" applyBorder="1" applyAlignment="1">
      <alignment horizontal="center"/>
      <protection/>
    </xf>
    <xf numFmtId="175" fontId="60" fillId="0" borderId="27" xfId="53" applyNumberFormat="1" applyFont="1" applyFill="1" applyBorder="1" applyAlignment="1">
      <alignment horizontal="center"/>
      <protection/>
    </xf>
    <xf numFmtId="175" fontId="60" fillId="0" borderId="64" xfId="53" applyNumberFormat="1" applyFont="1" applyFill="1" applyBorder="1" applyAlignment="1">
      <alignment horizontal="center"/>
      <protection/>
    </xf>
    <xf numFmtId="175" fontId="60" fillId="0" borderId="51" xfId="53" applyNumberFormat="1" applyFont="1" applyFill="1" applyBorder="1" applyAlignment="1">
      <alignment horizontal="center"/>
      <protection/>
    </xf>
    <xf numFmtId="189" fontId="60" fillId="0" borderId="62" xfId="53" applyNumberFormat="1" applyFont="1" applyFill="1" applyBorder="1" applyAlignment="1">
      <alignment horizontal="center"/>
      <protection/>
    </xf>
    <xf numFmtId="189" fontId="60" fillId="0" borderId="63" xfId="53" applyNumberFormat="1" applyFont="1" applyFill="1" applyBorder="1" applyAlignment="1">
      <alignment horizontal="center"/>
      <protection/>
    </xf>
    <xf numFmtId="189" fontId="60" fillId="0" borderId="64" xfId="53" applyNumberFormat="1" applyFont="1" applyFill="1" applyBorder="1" applyAlignment="1">
      <alignment horizontal="center"/>
      <protection/>
    </xf>
    <xf numFmtId="0" fontId="64" fillId="0" borderId="28" xfId="53" applyFont="1" applyFill="1" applyBorder="1" applyAlignment="1">
      <alignment horizontal="center"/>
      <protection/>
    </xf>
    <xf numFmtId="175" fontId="60" fillId="0" borderId="29" xfId="53" applyNumberFormat="1" applyFont="1" applyFill="1" applyBorder="1" applyAlignment="1">
      <alignment horizontal="center"/>
      <protection/>
    </xf>
    <xf numFmtId="189" fontId="60" fillId="0" borderId="65" xfId="53" applyNumberFormat="1" applyFont="1" applyFill="1" applyBorder="1" applyAlignment="1">
      <alignment horizontal="center"/>
      <protection/>
    </xf>
    <xf numFmtId="175" fontId="60" fillId="0" borderId="52" xfId="53" applyNumberFormat="1" applyFont="1" applyFill="1" applyBorder="1" applyAlignment="1">
      <alignment horizontal="center"/>
      <protection/>
    </xf>
    <xf numFmtId="0" fontId="60" fillId="0" borderId="0" xfId="53" applyFont="1" applyFill="1" applyBorder="1">
      <alignment/>
      <protection/>
    </xf>
    <xf numFmtId="0" fontId="60" fillId="0" borderId="53" xfId="53" applyFont="1" applyFill="1" applyBorder="1" applyAlignment="1">
      <alignment horizontal="center"/>
      <protection/>
    </xf>
    <xf numFmtId="0" fontId="60" fillId="0" borderId="54" xfId="53" applyFont="1" applyFill="1" applyBorder="1" applyAlignment="1">
      <alignment horizontal="center"/>
      <protection/>
    </xf>
    <xf numFmtId="175" fontId="60" fillId="0" borderId="65" xfId="53" applyNumberFormat="1" applyFont="1" applyFill="1" applyBorder="1" applyAlignment="1">
      <alignment horizontal="center"/>
      <protection/>
    </xf>
    <xf numFmtId="175" fontId="60" fillId="0" borderId="64" xfId="53" applyNumberFormat="1" applyFont="1" applyFill="1" applyBorder="1">
      <alignment/>
      <protection/>
    </xf>
    <xf numFmtId="0" fontId="60" fillId="0" borderId="58" xfId="53" applyFont="1" applyFill="1" applyBorder="1" applyAlignment="1">
      <alignment horizontal="center"/>
      <protection/>
    </xf>
    <xf numFmtId="175" fontId="60" fillId="0" borderId="81" xfId="53" applyNumberFormat="1" applyFont="1" applyFill="1" applyBorder="1" applyAlignment="1">
      <alignment horizontal="center"/>
      <protection/>
    </xf>
    <xf numFmtId="175" fontId="60" fillId="0" borderId="82" xfId="53" applyNumberFormat="1" applyFont="1" applyFill="1" applyBorder="1" applyAlignment="1">
      <alignment horizontal="center"/>
      <protection/>
    </xf>
    <xf numFmtId="0" fontId="62" fillId="0" borderId="55" xfId="53" applyFont="1" applyFill="1" applyBorder="1" applyAlignment="1">
      <alignment horizontal="left"/>
      <protection/>
    </xf>
    <xf numFmtId="0" fontId="62" fillId="0" borderId="66" xfId="53" applyFont="1" applyFill="1" applyBorder="1" applyAlignment="1">
      <alignment horizontal="center"/>
      <protection/>
    </xf>
    <xf numFmtId="0" fontId="62" fillId="0" borderId="57" xfId="53" applyFont="1" applyFill="1" applyBorder="1" applyAlignment="1">
      <alignment horizontal="center"/>
      <protection/>
    </xf>
    <xf numFmtId="0" fontId="60" fillId="0" borderId="66" xfId="53" applyFont="1" applyFill="1" applyBorder="1" applyAlignment="1">
      <alignment/>
      <protection/>
    </xf>
    <xf numFmtId="0" fontId="60" fillId="0" borderId="57" xfId="53" applyFont="1" applyFill="1" applyBorder="1" applyAlignment="1">
      <alignment/>
      <protection/>
    </xf>
    <xf numFmtId="0" fontId="63" fillId="0" borderId="59" xfId="53" applyFont="1" applyFill="1" applyBorder="1" applyAlignment="1">
      <alignment horizontal="center"/>
      <protection/>
    </xf>
    <xf numFmtId="175" fontId="59" fillId="0" borderId="65" xfId="53" applyNumberFormat="1" applyFont="1" applyBorder="1" applyAlignment="1">
      <alignment horizontal="center"/>
      <protection/>
    </xf>
    <xf numFmtId="175" fontId="59" fillId="0" borderId="82" xfId="53" applyNumberFormat="1" applyFont="1" applyBorder="1" applyAlignment="1">
      <alignment horizontal="center"/>
      <protection/>
    </xf>
    <xf numFmtId="9" fontId="60" fillId="0" borderId="19" xfId="51" applyFont="1" applyFill="1" applyBorder="1" applyAlignment="1">
      <alignment horizontal="center"/>
    </xf>
    <xf numFmtId="9" fontId="60" fillId="0" borderId="47" xfId="51" applyFont="1" applyFill="1" applyBorder="1" applyAlignment="1">
      <alignment horizontal="center"/>
    </xf>
    <xf numFmtId="9" fontId="60" fillId="0" borderId="21" xfId="51" applyFont="1" applyFill="1" applyBorder="1" applyAlignment="1">
      <alignment horizontal="center"/>
    </xf>
    <xf numFmtId="9" fontId="60" fillId="0" borderId="48" xfId="51" applyFont="1" applyFill="1" applyBorder="1" applyAlignment="1">
      <alignment horizontal="center"/>
    </xf>
    <xf numFmtId="9" fontId="60" fillId="0" borderId="23" xfId="51" applyFont="1" applyFill="1" applyBorder="1" applyAlignment="1">
      <alignment horizontal="center"/>
    </xf>
    <xf numFmtId="9" fontId="60" fillId="0" borderId="49" xfId="51" applyFont="1" applyFill="1" applyBorder="1" applyAlignment="1">
      <alignment horizontal="center"/>
    </xf>
    <xf numFmtId="9" fontId="60" fillId="0" borderId="29" xfId="51" applyFont="1" applyFill="1" applyBorder="1" applyAlignment="1">
      <alignment horizontal="center"/>
    </xf>
    <xf numFmtId="9" fontId="60" fillId="0" borderId="52" xfId="51" applyFont="1" applyFill="1" applyBorder="1" applyAlignment="1">
      <alignment horizontal="center"/>
    </xf>
    <xf numFmtId="0" fontId="0" fillId="8" borderId="77" xfId="0" applyFill="1" applyBorder="1" applyAlignment="1">
      <alignment/>
    </xf>
    <xf numFmtId="0" fontId="0" fillId="8" borderId="38" xfId="0" applyFill="1" applyBorder="1" applyAlignment="1">
      <alignment/>
    </xf>
    <xf numFmtId="0" fontId="0" fillId="8" borderId="39" xfId="0" applyFill="1" applyBorder="1" applyAlignment="1">
      <alignment/>
    </xf>
    <xf numFmtId="2" fontId="1" fillId="8" borderId="58" xfId="0" applyNumberFormat="1" applyFont="1" applyFill="1" applyBorder="1" applyAlignment="1">
      <alignment/>
    </xf>
    <xf numFmtId="0" fontId="1" fillId="8" borderId="54" xfId="0" applyFont="1" applyFill="1" applyBorder="1" applyAlignment="1">
      <alignment/>
    </xf>
    <xf numFmtId="206" fontId="1" fillId="8" borderId="54" xfId="0" applyNumberFormat="1" applyFont="1" applyFill="1" applyBorder="1" applyAlignment="1">
      <alignment/>
    </xf>
    <xf numFmtId="206" fontId="1" fillId="8" borderId="83" xfId="0" applyNumberFormat="1" applyFont="1" applyFill="1" applyBorder="1" applyAlignment="1">
      <alignment/>
    </xf>
    <xf numFmtId="175" fontId="1" fillId="8" borderId="83" xfId="0" applyNumberFormat="1" applyFont="1" applyFill="1" applyBorder="1" applyAlignment="1">
      <alignment/>
    </xf>
    <xf numFmtId="206" fontId="1" fillId="8" borderId="84" xfId="0" applyNumberFormat="1" applyFont="1" applyFill="1" applyBorder="1" applyAlignment="1">
      <alignment/>
    </xf>
    <xf numFmtId="206" fontId="1" fillId="8" borderId="85" xfId="0" applyNumberFormat="1" applyFont="1" applyFill="1" applyBorder="1" applyAlignment="1">
      <alignment/>
    </xf>
    <xf numFmtId="206" fontId="1" fillId="8" borderId="86" xfId="0" applyNumberFormat="1" applyFont="1" applyFill="1" applyBorder="1" applyAlignment="1">
      <alignment/>
    </xf>
    <xf numFmtId="206" fontId="0" fillId="8" borderId="32" xfId="0" applyNumberFormat="1" applyFill="1" applyBorder="1" applyAlignment="1">
      <alignment/>
    </xf>
    <xf numFmtId="206" fontId="0" fillId="8" borderId="66" xfId="0" applyNumberFormat="1" applyFill="1" applyBorder="1" applyAlignment="1">
      <alignment/>
    </xf>
    <xf numFmtId="206" fontId="0" fillId="8" borderId="87" xfId="0" applyNumberFormat="1" applyFill="1" applyBorder="1" applyAlignment="1">
      <alignment/>
    </xf>
    <xf numFmtId="206" fontId="0" fillId="8" borderId="11" xfId="0" applyNumberFormat="1" applyFill="1" applyBorder="1" applyAlignment="1">
      <alignment/>
    </xf>
    <xf numFmtId="206" fontId="0" fillId="8" borderId="79" xfId="0" applyNumberFormat="1" applyFill="1" applyBorder="1" applyAlignment="1">
      <alignment/>
    </xf>
    <xf numFmtId="175" fontId="0" fillId="8" borderId="56" xfId="0" applyNumberFormat="1" applyFill="1" applyBorder="1" applyAlignment="1">
      <alignment/>
    </xf>
    <xf numFmtId="206" fontId="0" fillId="8" borderId="88" xfId="0" applyNumberFormat="1" applyFill="1" applyBorder="1" applyAlignment="1">
      <alignment/>
    </xf>
    <xf numFmtId="206" fontId="0" fillId="8" borderId="55" xfId="0" applyNumberFormat="1" applyFill="1" applyBorder="1" applyAlignment="1">
      <alignment/>
    </xf>
    <xf numFmtId="206" fontId="0" fillId="8" borderId="80" xfId="0" applyNumberFormat="1" applyFill="1" applyBorder="1" applyAlignment="1">
      <alignment/>
    </xf>
    <xf numFmtId="206" fontId="0" fillId="8" borderId="43" xfId="0" applyNumberFormat="1" applyFill="1" applyBorder="1" applyAlignment="1">
      <alignment/>
    </xf>
    <xf numFmtId="206" fontId="0" fillId="8" borderId="89" xfId="0" applyNumberFormat="1" applyFill="1" applyBorder="1" applyAlignment="1">
      <alignment/>
    </xf>
    <xf numFmtId="206" fontId="0" fillId="8" borderId="40" xfId="0" applyNumberFormat="1" applyFill="1" applyBorder="1" applyAlignment="1">
      <alignment/>
    </xf>
    <xf numFmtId="206" fontId="0" fillId="8" borderId="74" xfId="0" applyNumberFormat="1" applyFill="1" applyBorder="1" applyAlignment="1">
      <alignment/>
    </xf>
    <xf numFmtId="49" fontId="0" fillId="2" borderId="56" xfId="0" applyNumberFormat="1" applyFill="1" applyBorder="1" applyAlignment="1" applyProtection="1">
      <alignment/>
      <protection locked="0"/>
    </xf>
    <xf numFmtId="0" fontId="0" fillId="2" borderId="78" xfId="0" applyFill="1" applyBorder="1" applyAlignment="1" applyProtection="1">
      <alignment/>
      <protection locked="0"/>
    </xf>
    <xf numFmtId="0" fontId="0" fillId="2" borderId="55" xfId="0" applyFill="1" applyBorder="1" applyAlignment="1" applyProtection="1">
      <alignment/>
      <protection locked="0"/>
    </xf>
    <xf numFmtId="49" fontId="0" fillId="2" borderId="90" xfId="0" applyNumberFormat="1" applyFill="1" applyBorder="1" applyAlignment="1" applyProtection="1">
      <alignment/>
      <protection locked="0"/>
    </xf>
    <xf numFmtId="0" fontId="0" fillId="2" borderId="54" xfId="0" applyFill="1" applyBorder="1" applyAlignment="1" applyProtection="1">
      <alignment/>
      <protection locked="0"/>
    </xf>
    <xf numFmtId="0" fontId="0" fillId="2" borderId="91" xfId="0" applyFill="1" applyBorder="1" applyAlignment="1" applyProtection="1">
      <alignment/>
      <protection locked="0"/>
    </xf>
    <xf numFmtId="9" fontId="0" fillId="2" borderId="77" xfId="51" applyFont="1" applyFill="1" applyBorder="1" applyAlignment="1" applyProtection="1">
      <alignment/>
      <protection locked="0"/>
    </xf>
    <xf numFmtId="175" fontId="0" fillId="2" borderId="78" xfId="0" applyNumberFormat="1" applyFill="1" applyBorder="1" applyAlignment="1" applyProtection="1">
      <alignment/>
      <protection locked="0"/>
    </xf>
    <xf numFmtId="0" fontId="0" fillId="2" borderId="32" xfId="0" applyFill="1" applyBorder="1" applyAlignment="1" applyProtection="1">
      <alignment/>
      <protection locked="0"/>
    </xf>
    <xf numFmtId="186" fontId="0" fillId="2" borderId="32" xfId="0" applyNumberFormat="1" applyFill="1" applyBorder="1" applyAlignment="1" applyProtection="1">
      <alignment/>
      <protection locked="0"/>
    </xf>
    <xf numFmtId="2" fontId="0" fillId="2" borderId="32" xfId="0" applyNumberFormat="1" applyFill="1" applyBorder="1" applyAlignment="1" applyProtection="1">
      <alignment/>
      <protection locked="0"/>
    </xf>
    <xf numFmtId="2" fontId="0" fillId="2" borderId="11" xfId="0" applyNumberFormat="1" applyFill="1" applyBorder="1" applyAlignment="1" applyProtection="1">
      <alignment/>
      <protection locked="0"/>
    </xf>
    <xf numFmtId="183" fontId="0" fillId="0" borderId="0" xfId="0" applyNumberFormat="1" applyAlignment="1">
      <alignment/>
    </xf>
    <xf numFmtId="0" fontId="11" fillId="0" borderId="0" xfId="53" applyFont="1" applyFill="1" applyBorder="1" applyAlignment="1">
      <alignment horizontal="center"/>
      <protection/>
    </xf>
    <xf numFmtId="175" fontId="0" fillId="0" borderId="0" xfId="0" applyNumberFormat="1" applyAlignment="1">
      <alignment/>
    </xf>
    <xf numFmtId="206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206" fontId="0" fillId="0" borderId="0" xfId="0" applyNumberFormat="1" applyBorder="1" applyAlignment="1">
      <alignment/>
    </xf>
    <xf numFmtId="9" fontId="0" fillId="0" borderId="0" xfId="51" applyFont="1" applyBorder="1" applyAlignment="1">
      <alignment/>
    </xf>
    <xf numFmtId="175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71" xfId="0" applyFont="1" applyBorder="1" applyAlignment="1">
      <alignment horizontal="center"/>
    </xf>
    <xf numFmtId="0" fontId="1" fillId="0" borderId="92" xfId="0" applyFont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87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70" xfId="0" applyBorder="1" applyAlignment="1">
      <alignment horizontal="left"/>
    </xf>
    <xf numFmtId="0" fontId="1" fillId="0" borderId="7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53" applyFont="1" applyAlignment="1">
      <alignment horizontal="left" vertical="center" wrapText="1"/>
      <protection/>
    </xf>
    <xf numFmtId="0" fontId="16" fillId="0" borderId="0" xfId="53" applyFont="1" applyAlignment="1">
      <alignment horizontal="left" vertical="center" wrapText="1"/>
      <protection/>
    </xf>
    <xf numFmtId="0" fontId="15" fillId="0" borderId="0" xfId="0" applyFont="1" applyAlignment="1">
      <alignment horizontal="left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Einzbaum2009 Rummel Nds.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v>Abtriebswerte laufend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Bewertung!#REF!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diskontierter Abtriebdswert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Bewertung!#REF!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Summe der diskontierte Bodenrente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Bewertung!#REF!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3"/>
          <c:tx>
            <c:v>Bodenrenteverlust (unter Kronenschirmfläche)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Bewertung!#REF!</c:f>
              <c:numCache>
                <c:ptCount val="1"/>
                <c:pt idx="0">
                  <c:v>1</c:v>
                </c:pt>
              </c:numCache>
            </c:numRef>
          </c:val>
        </c:ser>
        <c:axId val="64537725"/>
        <c:axId val="43968614"/>
      </c:barChart>
      <c:catAx>
        <c:axId val="64537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968614"/>
        <c:crosses val="autoZero"/>
        <c:auto val="0"/>
        <c:lblOffset val="100"/>
        <c:tickLblSkip val="1"/>
        <c:noMultiLvlLbl val="0"/>
      </c:catAx>
      <c:valAx>
        <c:axId val="43968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537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-0.00725"/>
          <c:w val="0.934"/>
          <c:h val="0.962"/>
        </c:manualLayout>
      </c:layout>
      <c:lineChart>
        <c:grouping val="standard"/>
        <c:varyColors val="0"/>
        <c:ser>
          <c:idx val="1"/>
          <c:order val="0"/>
          <c:tx>
            <c:strRef>
              <c:f>Bewertung!$D$152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solidFill>
                <a:srgbClr val="9E413E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1"/>
            <c:spPr>
              <a:solidFill>
                <a:srgbClr val="9E413E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2"/>
            <c:spPr>
              <a:solidFill>
                <a:srgbClr val="9E413E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3"/>
            <c:spPr>
              <a:solidFill>
                <a:srgbClr val="9E413E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4"/>
            <c:spPr>
              <a:solidFill>
                <a:srgbClr val="9E413E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numRef>
              <c:f>Bewertung!$C$153:$C$176</c:f>
              <c:numCache/>
            </c:numRef>
          </c:cat>
          <c:val>
            <c:numRef>
              <c:f>Bewertung!$D$153:$D$176</c:f>
              <c:numCache/>
            </c:numRef>
          </c:val>
          <c:smooth val="0"/>
        </c:ser>
        <c:ser>
          <c:idx val="2"/>
          <c:order val="1"/>
          <c:tx>
            <c:strRef>
              <c:f>Bewertung!$E$152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Bewertung!$E$153:$E$176</c:f>
              <c:numCache/>
            </c:numRef>
          </c:val>
          <c:smooth val="0"/>
        </c:ser>
        <c:ser>
          <c:idx val="3"/>
          <c:order val="2"/>
          <c:tx>
            <c:strRef>
              <c:f>Bewertung!$F$152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Bewertung!$F$153:$F$176</c:f>
              <c:numCache/>
            </c:numRef>
          </c:val>
          <c:smooth val="0"/>
        </c:ser>
        <c:ser>
          <c:idx val="4"/>
          <c:order val="3"/>
          <c:tx>
            <c:strRef>
              <c:f>Bewertung!$G$152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Bewertung!$G$153:$G$176</c:f>
              <c:numCache/>
            </c:numRef>
          </c:val>
          <c:smooth val="0"/>
        </c:ser>
        <c:ser>
          <c:idx val="5"/>
          <c:order val="4"/>
          <c:tx>
            <c:strRef>
              <c:f>Bewertung!$H$152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Bewertung!$H$153:$H$176</c:f>
              <c:numCache/>
            </c:numRef>
          </c:val>
          <c:smooth val="0"/>
        </c:ser>
        <c:ser>
          <c:idx val="6"/>
          <c:order val="5"/>
          <c:tx>
            <c:strRef>
              <c:f>Bewertung!$I$152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Bewertung!$I$153:$I$176</c:f>
              <c:numCache/>
            </c:numRef>
          </c:val>
          <c:smooth val="0"/>
        </c:ser>
        <c:ser>
          <c:idx val="7"/>
          <c:order val="6"/>
          <c:tx>
            <c:strRef>
              <c:f>Bewertung!$J$152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Bewertung!$J$153:$J$176</c:f>
              <c:numCache/>
            </c:numRef>
          </c:val>
          <c:smooth val="0"/>
        </c:ser>
        <c:ser>
          <c:idx val="8"/>
          <c:order val="7"/>
          <c:tx>
            <c:strRef>
              <c:f>Bewertung!$K$152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Bewertung!$K$153:$K$176</c:f>
              <c:numCache/>
            </c:numRef>
          </c:val>
          <c:smooth val="0"/>
        </c:ser>
        <c:ser>
          <c:idx val="9"/>
          <c:order val="8"/>
          <c:tx>
            <c:strRef>
              <c:f>Bewertung!$L$152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Bewertung!$L$153:$L$176</c:f>
              <c:numCache/>
            </c:numRef>
          </c:val>
          <c:smooth val="0"/>
        </c:ser>
        <c:ser>
          <c:idx val="10"/>
          <c:order val="9"/>
          <c:tx>
            <c:strRef>
              <c:f>Bewertung!$M$152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Bewertung!$M$153:$M$176</c:f>
              <c:numCache/>
            </c:numRef>
          </c:val>
          <c:smooth val="0"/>
        </c:ser>
        <c:ser>
          <c:idx val="11"/>
          <c:order val="10"/>
          <c:tx>
            <c:strRef>
              <c:f>Bewertung!$N$152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Bewertung!$N$153:$N$176</c:f>
              <c:numCache/>
            </c:numRef>
          </c:val>
          <c:smooth val="0"/>
        </c:ser>
        <c:marker val="1"/>
        <c:axId val="60173207"/>
        <c:axId val="4687952"/>
      </c:lineChart>
      <c:catAx>
        <c:axId val="60173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BHD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687952"/>
        <c:crosses val="autoZero"/>
        <c:auto val="1"/>
        <c:lblOffset val="100"/>
        <c:tickLblSkip val="1"/>
        <c:noMultiLvlLbl val="0"/>
      </c:catAx>
      <c:valAx>
        <c:axId val="4687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€/Baum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17320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85"/>
          <c:y val="0.943"/>
          <c:w val="0.78275"/>
          <c:h val="0.0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47725" y="0"/>
        <a:ext cx="7629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561975</xdr:colOff>
      <xdr:row>149</xdr:row>
      <xdr:rowOff>133350</xdr:rowOff>
    </xdr:from>
    <xdr:to>
      <xdr:col>32</xdr:col>
      <xdr:colOff>200025</xdr:colOff>
      <xdr:row>194</xdr:row>
      <xdr:rowOff>47625</xdr:rowOff>
    </xdr:to>
    <xdr:graphicFrame>
      <xdr:nvGraphicFramePr>
        <xdr:cNvPr id="2" name="Diagramm 2"/>
        <xdr:cNvGraphicFramePr/>
      </xdr:nvGraphicFramePr>
      <xdr:xfrm>
        <a:off x="12430125" y="25365075"/>
        <a:ext cx="14897100" cy="720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5">
    <pageSetUpPr fitToPage="1"/>
  </sheetPr>
  <dimension ref="B2:AB177"/>
  <sheetViews>
    <sheetView showGridLines="0" tabSelected="1" zoomScale="70" zoomScaleNormal="7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:IV16384"/>
    </sheetView>
  </sheetViews>
  <sheetFormatPr defaultColWidth="11.421875" defaultRowHeight="12.75"/>
  <cols>
    <col min="1" max="3" width="12.7109375" style="0" customWidth="1"/>
    <col min="4" max="11" width="12.7109375" style="1" customWidth="1"/>
    <col min="12" max="16384" width="12.7109375" style="0" customWidth="1"/>
  </cols>
  <sheetData>
    <row r="2" ht="18">
      <c r="B2" s="62" t="s">
        <v>65</v>
      </c>
    </row>
    <row r="3" ht="18.75" thickBot="1">
      <c r="B3" s="62"/>
    </row>
    <row r="4" spans="2:6" ht="24" customHeight="1">
      <c r="B4" s="90" t="s">
        <v>40</v>
      </c>
      <c r="C4" s="87"/>
      <c r="D4" s="87"/>
      <c r="E4" s="87"/>
      <c r="F4" s="88"/>
    </row>
    <row r="5" spans="2:6" ht="12.75">
      <c r="B5" s="262" t="s">
        <v>35</v>
      </c>
      <c r="C5" s="263"/>
      <c r="D5" s="263"/>
      <c r="E5" s="264"/>
      <c r="F5" s="240">
        <v>20</v>
      </c>
    </row>
    <row r="6" spans="2:6" ht="12.75">
      <c r="B6" s="262" t="s">
        <v>5</v>
      </c>
      <c r="C6" s="263"/>
      <c r="D6" s="263"/>
      <c r="E6" s="264"/>
      <c r="F6" s="241">
        <v>0.015</v>
      </c>
    </row>
    <row r="7" spans="2:6" ht="12.75">
      <c r="B7" s="89" t="s">
        <v>41</v>
      </c>
      <c r="C7" s="83"/>
      <c r="D7" s="86"/>
      <c r="E7" s="85"/>
      <c r="F7" s="240">
        <v>165</v>
      </c>
    </row>
    <row r="8" spans="2:6" ht="12.75">
      <c r="B8" s="89" t="s">
        <v>42</v>
      </c>
      <c r="C8" s="83"/>
      <c r="D8" s="86"/>
      <c r="E8" s="85"/>
      <c r="F8" s="242">
        <v>6</v>
      </c>
    </row>
    <row r="9" spans="2:6" ht="13.5" thickBot="1">
      <c r="B9" s="265" t="s">
        <v>59</v>
      </c>
      <c r="C9" s="266"/>
      <c r="D9" s="266"/>
      <c r="E9" s="267"/>
      <c r="F9" s="243">
        <v>1.2</v>
      </c>
    </row>
    <row r="10" ht="13.5" thickBot="1"/>
    <row r="11" spans="2:16" s="82" customFormat="1" ht="12.75">
      <c r="B11" s="260" t="s">
        <v>47</v>
      </c>
      <c r="C11" s="268"/>
      <c r="D11" s="268"/>
      <c r="E11" s="268"/>
      <c r="F11" s="261"/>
      <c r="G11" s="100" t="s">
        <v>49</v>
      </c>
      <c r="H11" s="260" t="s">
        <v>48</v>
      </c>
      <c r="I11" s="261"/>
      <c r="J11" s="260" t="s">
        <v>55</v>
      </c>
      <c r="K11" s="268"/>
      <c r="L11" s="261"/>
      <c r="M11" s="107" t="s">
        <v>56</v>
      </c>
      <c r="N11" s="99" t="s">
        <v>50</v>
      </c>
      <c r="O11" s="260" t="s">
        <v>53</v>
      </c>
      <c r="P11" s="261"/>
    </row>
    <row r="12" spans="2:16" s="121" customFormat="1" ht="69" customHeight="1">
      <c r="B12" s="109" t="s">
        <v>51</v>
      </c>
      <c r="C12" s="110" t="s">
        <v>0</v>
      </c>
      <c r="D12" s="111" t="s">
        <v>4</v>
      </c>
      <c r="E12" s="112" t="s">
        <v>45</v>
      </c>
      <c r="F12" s="113" t="s">
        <v>36</v>
      </c>
      <c r="G12" s="114" t="s">
        <v>52</v>
      </c>
      <c r="H12" s="115" t="s">
        <v>54</v>
      </c>
      <c r="I12" s="116" t="s">
        <v>37</v>
      </c>
      <c r="J12" s="117" t="s">
        <v>62</v>
      </c>
      <c r="K12" s="114" t="s">
        <v>61</v>
      </c>
      <c r="L12" s="118" t="s">
        <v>58</v>
      </c>
      <c r="M12" s="119" t="s">
        <v>57</v>
      </c>
      <c r="N12" s="114" t="s">
        <v>8</v>
      </c>
      <c r="O12" s="120" t="s">
        <v>60</v>
      </c>
      <c r="P12" s="119" t="s">
        <v>9</v>
      </c>
    </row>
    <row r="13" spans="2:16" ht="18" customHeight="1" thickBot="1">
      <c r="B13" s="101"/>
      <c r="C13" s="97"/>
      <c r="D13" s="3" t="s">
        <v>3</v>
      </c>
      <c r="E13" s="105"/>
      <c r="F13" s="4" t="s">
        <v>2</v>
      </c>
      <c r="G13" s="106" t="s">
        <v>6</v>
      </c>
      <c r="H13" s="103" t="s">
        <v>46</v>
      </c>
      <c r="I13" s="4" t="s">
        <v>6</v>
      </c>
      <c r="J13" s="98" t="s">
        <v>7</v>
      </c>
      <c r="K13" s="106"/>
      <c r="L13" s="102" t="s">
        <v>6</v>
      </c>
      <c r="M13" s="104" t="s">
        <v>6</v>
      </c>
      <c r="N13" s="106" t="s">
        <v>6</v>
      </c>
      <c r="O13" s="108" t="s">
        <v>6</v>
      </c>
      <c r="P13" s="104" t="s">
        <v>2</v>
      </c>
    </row>
    <row r="14" spans="2:25" ht="12.75">
      <c r="B14" s="208">
        <v>1</v>
      </c>
      <c r="C14" s="232" t="s">
        <v>1</v>
      </c>
      <c r="D14" s="233">
        <v>60</v>
      </c>
      <c r="E14" s="234">
        <v>2</v>
      </c>
      <c r="F14" s="223">
        <f ca="1">IF(D14=0,0,VLOOKUP(D14,INDIRECT(C14),E14)+(D14-ROUNDDOWN(D14*2,-1)/2)*((VLOOKUP(D14+4,INDIRECT(C14),E14)-VLOOKUP(D14,INDIRECT(C14),E14))/4))</f>
        <v>269</v>
      </c>
      <c r="G14" s="220">
        <f aca="true" t="shared" si="0" ref="G14:G19">F14*$F$6</f>
        <v>4.035</v>
      </c>
      <c r="H14" s="238">
        <v>0</v>
      </c>
      <c r="I14" s="223">
        <f>PMT($F$6,$F$5,(-F14+(F14*(100%+H14)))/(1+$F$6)^$F$5)</f>
        <v>0</v>
      </c>
      <c r="J14" s="224">
        <f aca="true" ca="1" t="shared" si="1" ref="J14:J33">IF(D14=0,0,((_xlfn.SINGLE(INDIRECT(CONCATENATE(C14,0)))+_xlfn.SINGLE(INDIRECT(CONCATENATE(C14,1)))*D14)*(1-EXP(-(D14/_xlfn.SINGLE(INDIRECT(CONCATENATE(C14,3)))))^_xlfn.SINGLE(INDIRECT(CONCATENATE(C14,4)))))^2*PI()/4)</f>
        <v>96.48474712034644</v>
      </c>
      <c r="K14" s="239">
        <v>1</v>
      </c>
      <c r="L14" s="226">
        <f>J14/10000*K14*$F$7</f>
        <v>1.5919983274857161</v>
      </c>
      <c r="M14" s="227">
        <f aca="true" t="shared" si="2" ref="M14:M33">IF(D14&gt;0,$F$8,0)</f>
        <v>6</v>
      </c>
      <c r="N14" s="220">
        <f>G14+I14+L14+M14</f>
        <v>11.626998327485715</v>
      </c>
      <c r="O14" s="228">
        <f aca="true" t="shared" si="3" ref="O14:O19">N14*$F$9</f>
        <v>13.952397992982858</v>
      </c>
      <c r="P14" s="227">
        <f>O14*((1+$F$6)^$F$5-1)/((1+$F$6)^$F$5*$F$6)</f>
        <v>239.54368132722283</v>
      </c>
      <c r="R14" s="34"/>
      <c r="S14" s="34"/>
      <c r="T14" s="33"/>
      <c r="V14" s="32"/>
      <c r="W14" s="32"/>
      <c r="X14" s="32"/>
      <c r="Y14" s="32"/>
    </row>
    <row r="15" spans="2:25" ht="12.75">
      <c r="B15" s="209">
        <f>+B14+1</f>
        <v>2</v>
      </c>
      <c r="C15" s="232" t="s">
        <v>1</v>
      </c>
      <c r="D15" s="233">
        <v>60</v>
      </c>
      <c r="E15" s="234">
        <v>3</v>
      </c>
      <c r="F15" s="219">
        <f aca="true" ca="1" t="shared" si="4" ref="F15:F33">IF(D15=0,0,VLOOKUP(D15,INDIRECT(C15),E15)+(D15-ROUNDDOWN(D15*2,-1)/2)*((VLOOKUP(D15+4,INDIRECT(C15),E15)-VLOOKUP(D15,INDIRECT(C15),E15))/4))</f>
        <v>226</v>
      </c>
      <c r="G15" s="221">
        <f t="shared" si="0"/>
        <v>3.3899999999999997</v>
      </c>
      <c r="H15" s="238">
        <v>0</v>
      </c>
      <c r="I15" s="223">
        <f aca="true" t="shared" si="5" ref="I15:I33">PMT($F$6,$F$5,(-F15+(F15*(100%+H15)))/(1+$F$6)^$F$5)</f>
        <v>0</v>
      </c>
      <c r="J15" s="224">
        <f ca="1" t="shared" si="1"/>
        <v>96.48474712034644</v>
      </c>
      <c r="K15" s="239">
        <v>1</v>
      </c>
      <c r="L15" s="226">
        <f aca="true" t="shared" si="6" ref="L15:L33">J15/10000*K15*$F$7</f>
        <v>1.5919983274857161</v>
      </c>
      <c r="M15" s="229">
        <f t="shared" si="2"/>
        <v>6</v>
      </c>
      <c r="N15" s="221">
        <f aca="true" t="shared" si="7" ref="N15:N33">G15+I15+L15+M15</f>
        <v>10.981998327485716</v>
      </c>
      <c r="O15" s="230">
        <f t="shared" si="3"/>
        <v>13.178397992982859</v>
      </c>
      <c r="P15" s="229">
        <f aca="true" t="shared" si="8" ref="P15:P33">O15*((1+$F$6)^$F$5-1)/((1+$F$6)^$F$5*$F$6)</f>
        <v>226.2551549075695</v>
      </c>
      <c r="R15" s="34"/>
      <c r="S15" s="34"/>
      <c r="T15" s="33"/>
      <c r="V15" s="32"/>
      <c r="W15" s="32"/>
      <c r="X15" s="32"/>
      <c r="Y15" s="32"/>
    </row>
    <row r="16" spans="2:25" ht="12.75">
      <c r="B16" s="209">
        <f aca="true" t="shared" si="9" ref="B16:B33">+B15+1</f>
        <v>3</v>
      </c>
      <c r="C16" s="232" t="s">
        <v>1</v>
      </c>
      <c r="D16" s="233">
        <v>60</v>
      </c>
      <c r="E16" s="234">
        <v>4</v>
      </c>
      <c r="F16" s="219">
        <f ca="1" t="shared" si="4"/>
        <v>201</v>
      </c>
      <c r="G16" s="221">
        <f>F16*$F$6</f>
        <v>3.0149999999999997</v>
      </c>
      <c r="H16" s="238">
        <v>0</v>
      </c>
      <c r="I16" s="223">
        <f>PMT($F$6,$F$5,(-F16+(F16*(100%+H16)))/(1+$F$6)^$F$5)</f>
        <v>0</v>
      </c>
      <c r="J16" s="224">
        <f ca="1">IF(D16=0,0,((_xlfn.SINGLE(INDIRECT(CONCATENATE(C16,0)))+_xlfn.SINGLE(INDIRECT(CONCATENATE(C16,1)))*D16)*(1-EXP(-(D16/_xlfn.SINGLE(INDIRECT(CONCATENATE(C16,3)))))^_xlfn.SINGLE(INDIRECT(CONCATENATE(C16,4)))))^2*PI()/4)</f>
        <v>96.48474712034644</v>
      </c>
      <c r="K16" s="239">
        <v>1</v>
      </c>
      <c r="L16" s="226">
        <f t="shared" si="6"/>
        <v>1.5919983274857161</v>
      </c>
      <c r="M16" s="229">
        <f>IF(D16&gt;0,$F$8,0)</f>
        <v>6</v>
      </c>
      <c r="N16" s="221">
        <f>G16+I16+L16+M16</f>
        <v>10.606998327485716</v>
      </c>
      <c r="O16" s="230">
        <f>N16*$F$9</f>
        <v>12.728397992982858</v>
      </c>
      <c r="P16" s="229">
        <f t="shared" si="8"/>
        <v>218.5292674542827</v>
      </c>
      <c r="R16" s="34"/>
      <c r="S16" s="34"/>
      <c r="T16" s="33"/>
      <c r="V16" s="32"/>
      <c r="W16" s="32"/>
      <c r="X16" s="32"/>
      <c r="Y16" s="32"/>
    </row>
    <row r="17" spans="2:25" ht="12.75">
      <c r="B17" s="209">
        <f t="shared" si="9"/>
        <v>4</v>
      </c>
      <c r="C17" s="232" t="s">
        <v>24</v>
      </c>
      <c r="D17" s="233">
        <v>100</v>
      </c>
      <c r="E17" s="234">
        <v>2</v>
      </c>
      <c r="F17" s="219">
        <f ca="1" t="shared" si="4"/>
        <v>996.33</v>
      </c>
      <c r="G17" s="221">
        <f t="shared" si="0"/>
        <v>14.94495</v>
      </c>
      <c r="H17" s="238">
        <v>0</v>
      </c>
      <c r="I17" s="223">
        <f t="shared" si="5"/>
        <v>0</v>
      </c>
      <c r="J17" s="224">
        <f ca="1" t="shared" si="1"/>
        <v>157.96197461929793</v>
      </c>
      <c r="K17" s="239">
        <v>1</v>
      </c>
      <c r="L17" s="226">
        <f t="shared" si="6"/>
        <v>2.606372581218416</v>
      </c>
      <c r="M17" s="229">
        <f t="shared" si="2"/>
        <v>6</v>
      </c>
      <c r="N17" s="221">
        <f t="shared" si="7"/>
        <v>23.551322581218415</v>
      </c>
      <c r="O17" s="230">
        <f t="shared" si="3"/>
        <v>28.261587097462098</v>
      </c>
      <c r="P17" s="229">
        <f t="shared" si="8"/>
        <v>485.2129803694548</v>
      </c>
      <c r="R17" s="34"/>
      <c r="S17" s="34"/>
      <c r="T17" s="33"/>
      <c r="V17" s="32"/>
      <c r="W17" s="32"/>
      <c r="X17" s="32"/>
      <c r="Y17" s="32"/>
    </row>
    <row r="18" spans="2:25" ht="12.75">
      <c r="B18" s="209">
        <f t="shared" si="9"/>
        <v>5</v>
      </c>
      <c r="C18" s="232" t="s">
        <v>24</v>
      </c>
      <c r="D18" s="233">
        <v>60</v>
      </c>
      <c r="E18" s="234">
        <v>3</v>
      </c>
      <c r="F18" s="219">
        <f ca="1" t="shared" si="4"/>
        <v>309</v>
      </c>
      <c r="G18" s="221">
        <f t="shared" si="0"/>
        <v>4.635</v>
      </c>
      <c r="H18" s="238">
        <v>0</v>
      </c>
      <c r="I18" s="223">
        <f t="shared" si="5"/>
        <v>0</v>
      </c>
      <c r="J18" s="224">
        <f ca="1" t="shared" si="1"/>
        <v>71.98203034129001</v>
      </c>
      <c r="K18" s="239">
        <v>1</v>
      </c>
      <c r="L18" s="226">
        <f t="shared" si="6"/>
        <v>1.1877035006312853</v>
      </c>
      <c r="M18" s="229">
        <f t="shared" si="2"/>
        <v>6</v>
      </c>
      <c r="N18" s="221">
        <f t="shared" si="7"/>
        <v>11.822703500631285</v>
      </c>
      <c r="O18" s="230">
        <f t="shared" si="3"/>
        <v>14.187244200757542</v>
      </c>
      <c r="P18" s="229">
        <f t="shared" si="8"/>
        <v>243.57567103855263</v>
      </c>
      <c r="R18" s="34"/>
      <c r="S18" s="34"/>
      <c r="T18" s="33"/>
      <c r="V18" s="32"/>
      <c r="W18" s="32"/>
      <c r="X18" s="32"/>
      <c r="Y18" s="32"/>
    </row>
    <row r="19" spans="2:25" ht="12.75">
      <c r="B19" s="209">
        <f t="shared" si="9"/>
        <v>6</v>
      </c>
      <c r="C19" s="232" t="s">
        <v>24</v>
      </c>
      <c r="D19" s="233">
        <v>60</v>
      </c>
      <c r="E19" s="234">
        <v>4</v>
      </c>
      <c r="F19" s="219">
        <f ca="1" t="shared" si="4"/>
        <v>219</v>
      </c>
      <c r="G19" s="221">
        <f t="shared" si="0"/>
        <v>3.2849999999999997</v>
      </c>
      <c r="H19" s="238">
        <v>0</v>
      </c>
      <c r="I19" s="223">
        <f t="shared" si="5"/>
        <v>0</v>
      </c>
      <c r="J19" s="224">
        <f ca="1" t="shared" si="1"/>
        <v>71.98203034129001</v>
      </c>
      <c r="K19" s="239">
        <v>1</v>
      </c>
      <c r="L19" s="226">
        <f t="shared" si="6"/>
        <v>1.1877035006312853</v>
      </c>
      <c r="M19" s="229">
        <f t="shared" si="2"/>
        <v>6</v>
      </c>
      <c r="N19" s="221">
        <f t="shared" si="7"/>
        <v>10.472703500631285</v>
      </c>
      <c r="O19" s="230">
        <f t="shared" si="3"/>
        <v>12.567244200757541</v>
      </c>
      <c r="P19" s="229">
        <f t="shared" si="8"/>
        <v>215.7624762067201</v>
      </c>
      <c r="R19" s="34"/>
      <c r="S19" s="34"/>
      <c r="T19" s="33"/>
      <c r="V19" s="32"/>
      <c r="W19" s="32"/>
      <c r="X19" s="32"/>
      <c r="Y19" s="32"/>
    </row>
    <row r="20" spans="2:25" ht="12.75">
      <c r="B20" s="209">
        <f t="shared" si="9"/>
        <v>7</v>
      </c>
      <c r="C20" s="232" t="s">
        <v>23</v>
      </c>
      <c r="D20" s="233">
        <v>60</v>
      </c>
      <c r="E20" s="234">
        <v>2</v>
      </c>
      <c r="F20" s="219">
        <f ca="1" t="shared" si="4"/>
        <v>249</v>
      </c>
      <c r="G20" s="221">
        <f aca="true" t="shared" si="10" ref="G20:G26">F20*$F$6</f>
        <v>3.735</v>
      </c>
      <c r="H20" s="238">
        <v>0</v>
      </c>
      <c r="I20" s="223">
        <f t="shared" si="5"/>
        <v>0</v>
      </c>
      <c r="J20" s="224">
        <f ca="1" t="shared" si="1"/>
        <v>46.52272481241616</v>
      </c>
      <c r="K20" s="239">
        <v>1</v>
      </c>
      <c r="L20" s="226">
        <f t="shared" si="6"/>
        <v>0.7676249594048666</v>
      </c>
      <c r="M20" s="229">
        <f t="shared" si="2"/>
        <v>6</v>
      </c>
      <c r="N20" s="221">
        <f t="shared" si="7"/>
        <v>10.502624959404866</v>
      </c>
      <c r="O20" s="230">
        <f aca="true" t="shared" si="11" ref="O20:O26">N20*$F$9</f>
        <v>12.603149951285838</v>
      </c>
      <c r="P20" s="229">
        <f t="shared" si="8"/>
        <v>216.3789290678477</v>
      </c>
      <c r="R20" s="34"/>
      <c r="S20" s="34"/>
      <c r="T20" s="33"/>
      <c r="V20" s="32"/>
      <c r="W20" s="32"/>
      <c r="X20" s="32"/>
      <c r="Y20" s="32"/>
    </row>
    <row r="21" spans="2:25" ht="12.75">
      <c r="B21" s="209">
        <f t="shared" si="9"/>
        <v>8</v>
      </c>
      <c r="C21" s="232" t="s">
        <v>23</v>
      </c>
      <c r="D21" s="233">
        <v>60</v>
      </c>
      <c r="E21" s="234">
        <v>3</v>
      </c>
      <c r="F21" s="219">
        <f ca="1" t="shared" si="4"/>
        <v>200</v>
      </c>
      <c r="G21" s="221">
        <f t="shared" si="10"/>
        <v>3</v>
      </c>
      <c r="H21" s="238">
        <v>0</v>
      </c>
      <c r="I21" s="223">
        <f t="shared" si="5"/>
        <v>0</v>
      </c>
      <c r="J21" s="224">
        <f ca="1" t="shared" si="1"/>
        <v>46.52272481241616</v>
      </c>
      <c r="K21" s="239">
        <v>1</v>
      </c>
      <c r="L21" s="226">
        <f t="shared" si="6"/>
        <v>0.7676249594048666</v>
      </c>
      <c r="M21" s="229">
        <f t="shared" si="2"/>
        <v>6</v>
      </c>
      <c r="N21" s="221">
        <f t="shared" si="7"/>
        <v>9.767624959404866</v>
      </c>
      <c r="O21" s="230">
        <f t="shared" si="11"/>
        <v>11.72114995128584</v>
      </c>
      <c r="P21" s="229">
        <f t="shared" si="8"/>
        <v>201.2361896594056</v>
      </c>
      <c r="R21" s="34"/>
      <c r="S21" s="34"/>
      <c r="T21" s="33"/>
      <c r="V21" s="32"/>
      <c r="W21" s="32"/>
      <c r="X21" s="32"/>
      <c r="Y21" s="32"/>
    </row>
    <row r="22" spans="2:25" ht="12.75">
      <c r="B22" s="209">
        <f t="shared" si="9"/>
        <v>9</v>
      </c>
      <c r="C22" s="232" t="s">
        <v>23</v>
      </c>
      <c r="D22" s="233">
        <v>60</v>
      </c>
      <c r="E22" s="234">
        <v>4</v>
      </c>
      <c r="F22" s="219">
        <f ca="1" t="shared" si="4"/>
        <v>172</v>
      </c>
      <c r="G22" s="221">
        <f t="shared" si="10"/>
        <v>2.58</v>
      </c>
      <c r="H22" s="238">
        <v>0</v>
      </c>
      <c r="I22" s="223">
        <f t="shared" si="5"/>
        <v>0</v>
      </c>
      <c r="J22" s="224">
        <f ca="1" t="shared" si="1"/>
        <v>46.52272481241616</v>
      </c>
      <c r="K22" s="239">
        <v>1</v>
      </c>
      <c r="L22" s="226">
        <f t="shared" si="6"/>
        <v>0.7676249594048666</v>
      </c>
      <c r="M22" s="229">
        <f t="shared" si="2"/>
        <v>6</v>
      </c>
      <c r="N22" s="221">
        <f t="shared" si="7"/>
        <v>9.347624959404866</v>
      </c>
      <c r="O22" s="230">
        <f t="shared" si="11"/>
        <v>11.217149951285839</v>
      </c>
      <c r="P22" s="229">
        <f t="shared" si="8"/>
        <v>192.58319571172436</v>
      </c>
      <c r="R22" s="34"/>
      <c r="S22" s="34"/>
      <c r="T22" s="33"/>
      <c r="V22" s="32"/>
      <c r="W22" s="32"/>
      <c r="X22" s="32"/>
      <c r="Y22" s="32"/>
    </row>
    <row r="23" spans="2:25" ht="12.75">
      <c r="B23" s="209">
        <f t="shared" si="9"/>
        <v>10</v>
      </c>
      <c r="C23" s="232" t="s">
        <v>27</v>
      </c>
      <c r="D23" s="233">
        <v>60</v>
      </c>
      <c r="E23" s="234">
        <v>2</v>
      </c>
      <c r="F23" s="219">
        <f ca="1" t="shared" si="4"/>
        <v>185</v>
      </c>
      <c r="G23" s="221">
        <f t="shared" si="10"/>
        <v>2.775</v>
      </c>
      <c r="H23" s="238">
        <v>0</v>
      </c>
      <c r="I23" s="223">
        <f t="shared" si="5"/>
        <v>0</v>
      </c>
      <c r="J23" s="224">
        <f ca="1" t="shared" si="1"/>
        <v>51.6611880094715</v>
      </c>
      <c r="K23" s="239">
        <v>1</v>
      </c>
      <c r="L23" s="226">
        <f t="shared" si="6"/>
        <v>0.8524096021562798</v>
      </c>
      <c r="M23" s="229">
        <f t="shared" si="2"/>
        <v>6</v>
      </c>
      <c r="N23" s="221">
        <f t="shared" si="7"/>
        <v>9.62740960215628</v>
      </c>
      <c r="O23" s="230">
        <f t="shared" si="11"/>
        <v>11.552891522587537</v>
      </c>
      <c r="P23" s="229">
        <f t="shared" si="8"/>
        <v>198.34742147453898</v>
      </c>
      <c r="R23" s="34"/>
      <c r="S23" s="34"/>
      <c r="T23" s="33"/>
      <c r="V23" s="32"/>
      <c r="W23" s="32"/>
      <c r="X23" s="32"/>
      <c r="Y23" s="32"/>
    </row>
    <row r="24" spans="2:25" ht="12.75">
      <c r="B24" s="209">
        <f t="shared" si="9"/>
        <v>11</v>
      </c>
      <c r="C24" s="232" t="s">
        <v>27</v>
      </c>
      <c r="D24" s="233">
        <v>60</v>
      </c>
      <c r="E24" s="234">
        <v>3</v>
      </c>
      <c r="F24" s="219">
        <f ca="1" t="shared" si="4"/>
        <v>156</v>
      </c>
      <c r="G24" s="221">
        <f t="shared" si="10"/>
        <v>2.34</v>
      </c>
      <c r="H24" s="238">
        <v>0</v>
      </c>
      <c r="I24" s="223">
        <f t="shared" si="5"/>
        <v>0</v>
      </c>
      <c r="J24" s="224">
        <f ca="1" t="shared" si="1"/>
        <v>51.6611880094715</v>
      </c>
      <c r="K24" s="239">
        <v>1</v>
      </c>
      <c r="L24" s="226">
        <f t="shared" si="6"/>
        <v>0.8524096021562798</v>
      </c>
      <c r="M24" s="229">
        <f t="shared" si="2"/>
        <v>6</v>
      </c>
      <c r="N24" s="221">
        <f t="shared" si="7"/>
        <v>9.19240960215628</v>
      </c>
      <c r="O24" s="230">
        <f t="shared" si="11"/>
        <v>11.030891522587536</v>
      </c>
      <c r="P24" s="229">
        <f t="shared" si="8"/>
        <v>189.38539202872627</v>
      </c>
      <c r="R24" s="34"/>
      <c r="S24" s="34"/>
      <c r="T24" s="33"/>
      <c r="V24" s="32"/>
      <c r="W24" s="32"/>
      <c r="X24" s="32"/>
      <c r="Y24" s="32"/>
    </row>
    <row r="25" spans="2:25" ht="12.75">
      <c r="B25" s="209">
        <f t="shared" si="9"/>
        <v>12</v>
      </c>
      <c r="C25" s="232" t="s">
        <v>27</v>
      </c>
      <c r="D25" s="233">
        <v>60</v>
      </c>
      <c r="E25" s="234">
        <v>4</v>
      </c>
      <c r="F25" s="219">
        <f ca="1" t="shared" si="4"/>
        <v>135</v>
      </c>
      <c r="G25" s="221">
        <f t="shared" si="10"/>
        <v>2.025</v>
      </c>
      <c r="H25" s="238">
        <v>0</v>
      </c>
      <c r="I25" s="223">
        <f t="shared" si="5"/>
        <v>0</v>
      </c>
      <c r="J25" s="224">
        <f ca="1" t="shared" si="1"/>
        <v>51.6611880094715</v>
      </c>
      <c r="K25" s="239">
        <v>1</v>
      </c>
      <c r="L25" s="226">
        <f t="shared" si="6"/>
        <v>0.8524096021562798</v>
      </c>
      <c r="M25" s="229">
        <f t="shared" si="2"/>
        <v>6</v>
      </c>
      <c r="N25" s="221">
        <f t="shared" si="7"/>
        <v>8.87740960215628</v>
      </c>
      <c r="O25" s="230">
        <f t="shared" si="11"/>
        <v>10.652891522587536</v>
      </c>
      <c r="P25" s="229">
        <f t="shared" si="8"/>
        <v>182.89564656796534</v>
      </c>
      <c r="R25" s="34"/>
      <c r="S25" s="34"/>
      <c r="T25" s="33"/>
      <c r="V25" s="32"/>
      <c r="W25" s="32"/>
      <c r="X25" s="32"/>
      <c r="Y25" s="32"/>
    </row>
    <row r="26" spans="2:25" ht="12.75">
      <c r="B26" s="209">
        <f t="shared" si="9"/>
        <v>13</v>
      </c>
      <c r="C26" s="232" t="s">
        <v>28</v>
      </c>
      <c r="D26" s="233">
        <v>60</v>
      </c>
      <c r="E26" s="234">
        <v>2</v>
      </c>
      <c r="F26" s="219">
        <f ca="1" t="shared" si="4"/>
        <v>238</v>
      </c>
      <c r="G26" s="221">
        <f t="shared" si="10"/>
        <v>3.57</v>
      </c>
      <c r="H26" s="238">
        <v>0</v>
      </c>
      <c r="I26" s="223">
        <f t="shared" si="5"/>
        <v>0</v>
      </c>
      <c r="J26" s="224">
        <f ca="1" t="shared" si="1"/>
        <v>57.421986238544925</v>
      </c>
      <c r="K26" s="239">
        <v>1</v>
      </c>
      <c r="L26" s="226">
        <f t="shared" si="6"/>
        <v>0.9474627729359913</v>
      </c>
      <c r="M26" s="229">
        <f t="shared" si="2"/>
        <v>6</v>
      </c>
      <c r="N26" s="221">
        <f t="shared" si="7"/>
        <v>10.51746277293599</v>
      </c>
      <c r="O26" s="230">
        <f t="shared" si="11"/>
        <v>12.62095532752319</v>
      </c>
      <c r="P26" s="229">
        <f t="shared" si="8"/>
        <v>216.68462314089928</v>
      </c>
      <c r="R26" s="34"/>
      <c r="S26" s="34"/>
      <c r="T26" s="33"/>
      <c r="V26" s="32"/>
      <c r="W26" s="32"/>
      <c r="X26" s="32"/>
      <c r="Y26" s="32"/>
    </row>
    <row r="27" spans="2:25" ht="12.75">
      <c r="B27" s="209">
        <f t="shared" si="9"/>
        <v>14</v>
      </c>
      <c r="C27" s="232" t="s">
        <v>28</v>
      </c>
      <c r="D27" s="233">
        <v>60</v>
      </c>
      <c r="E27" s="234">
        <v>3</v>
      </c>
      <c r="F27" s="219">
        <f ca="1" t="shared" si="4"/>
        <v>200</v>
      </c>
      <c r="G27" s="221">
        <f aca="true" t="shared" si="12" ref="G27:G33">F27*$F$6</f>
        <v>3</v>
      </c>
      <c r="H27" s="238">
        <v>0</v>
      </c>
      <c r="I27" s="223">
        <f t="shared" si="5"/>
        <v>0</v>
      </c>
      <c r="J27" s="224">
        <f ca="1" t="shared" si="1"/>
        <v>57.421986238544925</v>
      </c>
      <c r="K27" s="239">
        <v>1</v>
      </c>
      <c r="L27" s="226">
        <f t="shared" si="6"/>
        <v>0.9474627729359913</v>
      </c>
      <c r="M27" s="229">
        <f t="shared" si="2"/>
        <v>6</v>
      </c>
      <c r="N27" s="221">
        <f t="shared" si="7"/>
        <v>9.947462772935992</v>
      </c>
      <c r="O27" s="230">
        <f aca="true" t="shared" si="13" ref="O27:O33">N27*$F$9</f>
        <v>11.93695532752319</v>
      </c>
      <c r="P27" s="229">
        <f t="shared" si="8"/>
        <v>204.9412742119033</v>
      </c>
      <c r="R27" s="34"/>
      <c r="S27" s="34"/>
      <c r="T27" s="33"/>
      <c r="V27" s="32"/>
      <c r="W27" s="32"/>
      <c r="X27" s="32"/>
      <c r="Y27" s="32"/>
    </row>
    <row r="28" spans="2:25" ht="12.75">
      <c r="B28" s="209">
        <f t="shared" si="9"/>
        <v>15</v>
      </c>
      <c r="C28" s="232" t="s">
        <v>28</v>
      </c>
      <c r="D28" s="233">
        <v>60</v>
      </c>
      <c r="E28" s="234">
        <v>4</v>
      </c>
      <c r="F28" s="219">
        <f ca="1" t="shared" si="4"/>
        <v>175</v>
      </c>
      <c r="G28" s="221">
        <f t="shared" si="12"/>
        <v>2.625</v>
      </c>
      <c r="H28" s="238">
        <v>0</v>
      </c>
      <c r="I28" s="223">
        <f t="shared" si="5"/>
        <v>0</v>
      </c>
      <c r="J28" s="224">
        <f ca="1" t="shared" si="1"/>
        <v>57.421986238544925</v>
      </c>
      <c r="K28" s="239">
        <v>1</v>
      </c>
      <c r="L28" s="226">
        <f t="shared" si="6"/>
        <v>0.9474627729359913</v>
      </c>
      <c r="M28" s="229">
        <f t="shared" si="2"/>
        <v>6</v>
      </c>
      <c r="N28" s="221">
        <f t="shared" si="7"/>
        <v>9.572462772935992</v>
      </c>
      <c r="O28" s="230">
        <f t="shared" si="13"/>
        <v>11.48695532752319</v>
      </c>
      <c r="P28" s="229">
        <f t="shared" si="8"/>
        <v>197.21538675861652</v>
      </c>
      <c r="R28" s="34"/>
      <c r="S28" s="34"/>
      <c r="T28" s="33"/>
      <c r="V28" s="32"/>
      <c r="W28" s="32"/>
      <c r="X28" s="32"/>
      <c r="Y28" s="32"/>
    </row>
    <row r="29" spans="2:25" ht="12.75">
      <c r="B29" s="209">
        <f t="shared" si="9"/>
        <v>16</v>
      </c>
      <c r="C29" s="232" t="s">
        <v>29</v>
      </c>
      <c r="D29" s="233">
        <v>60</v>
      </c>
      <c r="E29" s="234">
        <v>2</v>
      </c>
      <c r="F29" s="219">
        <f ca="1" t="shared" si="4"/>
        <v>227</v>
      </c>
      <c r="G29" s="221">
        <f t="shared" si="12"/>
        <v>3.405</v>
      </c>
      <c r="H29" s="238">
        <v>0</v>
      </c>
      <c r="I29" s="223">
        <f t="shared" si="5"/>
        <v>0</v>
      </c>
      <c r="J29" s="224">
        <f ca="1" t="shared" si="1"/>
        <v>52.11003133855426</v>
      </c>
      <c r="K29" s="239">
        <v>1</v>
      </c>
      <c r="L29" s="226">
        <f t="shared" si="6"/>
        <v>0.8598155170861452</v>
      </c>
      <c r="M29" s="229">
        <f t="shared" si="2"/>
        <v>6</v>
      </c>
      <c r="N29" s="221">
        <f t="shared" si="7"/>
        <v>10.264815517086145</v>
      </c>
      <c r="O29" s="230">
        <f t="shared" si="13"/>
        <v>12.317778620503374</v>
      </c>
      <c r="P29" s="229">
        <f t="shared" si="8"/>
        <v>211.47949177002548</v>
      </c>
      <c r="Q29" s="34"/>
      <c r="R29" s="34"/>
      <c r="S29" s="34"/>
      <c r="T29" s="33"/>
      <c r="V29" s="32"/>
      <c r="W29" s="32"/>
      <c r="X29" s="32"/>
      <c r="Y29" s="32"/>
    </row>
    <row r="30" spans="2:25" ht="12.75">
      <c r="B30" s="209">
        <f t="shared" si="9"/>
        <v>17</v>
      </c>
      <c r="C30" s="232" t="s">
        <v>29</v>
      </c>
      <c r="D30" s="233">
        <v>60</v>
      </c>
      <c r="E30" s="234">
        <v>3</v>
      </c>
      <c r="F30" s="219">
        <f ca="1" t="shared" si="4"/>
        <v>192</v>
      </c>
      <c r="G30" s="221">
        <f t="shared" si="12"/>
        <v>2.88</v>
      </c>
      <c r="H30" s="238">
        <v>0</v>
      </c>
      <c r="I30" s="223">
        <f t="shared" si="5"/>
        <v>0</v>
      </c>
      <c r="J30" s="224">
        <f ca="1" t="shared" si="1"/>
        <v>52.11003133855426</v>
      </c>
      <c r="K30" s="239">
        <v>1</v>
      </c>
      <c r="L30" s="226">
        <f t="shared" si="6"/>
        <v>0.8598155170861452</v>
      </c>
      <c r="M30" s="229">
        <f t="shared" si="2"/>
        <v>6</v>
      </c>
      <c r="N30" s="221">
        <f t="shared" si="7"/>
        <v>9.739815517086145</v>
      </c>
      <c r="O30" s="230">
        <f t="shared" si="13"/>
        <v>11.687778620503373</v>
      </c>
      <c r="P30" s="229">
        <f t="shared" si="8"/>
        <v>200.66324933542393</v>
      </c>
      <c r="Q30" s="34"/>
      <c r="R30" s="34"/>
      <c r="S30" s="34"/>
      <c r="T30" s="33"/>
      <c r="V30" s="32"/>
      <c r="W30" s="32"/>
      <c r="X30" s="32"/>
      <c r="Y30" s="32"/>
    </row>
    <row r="31" spans="2:25" ht="12.75">
      <c r="B31" s="209">
        <f t="shared" si="9"/>
        <v>18</v>
      </c>
      <c r="C31" s="232" t="s">
        <v>29</v>
      </c>
      <c r="D31" s="233">
        <v>60</v>
      </c>
      <c r="E31" s="234">
        <v>4</v>
      </c>
      <c r="F31" s="219">
        <f ca="1" t="shared" si="4"/>
        <v>156</v>
      </c>
      <c r="G31" s="221">
        <f t="shared" si="12"/>
        <v>2.34</v>
      </c>
      <c r="H31" s="238">
        <v>0</v>
      </c>
      <c r="I31" s="223">
        <f t="shared" si="5"/>
        <v>0</v>
      </c>
      <c r="J31" s="224">
        <f ca="1" t="shared" si="1"/>
        <v>52.11003133855426</v>
      </c>
      <c r="K31" s="239">
        <v>1</v>
      </c>
      <c r="L31" s="226">
        <f t="shared" si="6"/>
        <v>0.8598155170861452</v>
      </c>
      <c r="M31" s="229">
        <f t="shared" si="2"/>
        <v>6</v>
      </c>
      <c r="N31" s="221">
        <f t="shared" si="7"/>
        <v>9.199815517086146</v>
      </c>
      <c r="O31" s="230">
        <f t="shared" si="13"/>
        <v>11.039778620503375</v>
      </c>
      <c r="P31" s="229">
        <f t="shared" si="8"/>
        <v>189.53797140269097</v>
      </c>
      <c r="Q31" s="34"/>
      <c r="R31" s="34"/>
      <c r="S31" s="34"/>
      <c r="T31" s="33"/>
      <c r="V31" s="32"/>
      <c r="W31" s="32"/>
      <c r="X31" s="32"/>
      <c r="Y31" s="32"/>
    </row>
    <row r="32" spans="2:25" ht="12.75">
      <c r="B32" s="209">
        <f t="shared" si="9"/>
        <v>19</v>
      </c>
      <c r="C32" s="232" t="s">
        <v>25</v>
      </c>
      <c r="D32" s="233">
        <v>60</v>
      </c>
      <c r="E32" s="234">
        <v>2</v>
      </c>
      <c r="F32" s="219">
        <f ca="1" t="shared" si="4"/>
        <v>274</v>
      </c>
      <c r="G32" s="221">
        <f t="shared" si="12"/>
        <v>4.109999999999999</v>
      </c>
      <c r="H32" s="238">
        <v>0</v>
      </c>
      <c r="I32" s="223">
        <f t="shared" si="5"/>
        <v>0</v>
      </c>
      <c r="J32" s="224">
        <f ca="1" t="shared" si="1"/>
        <v>92.81086239568428</v>
      </c>
      <c r="K32" s="239">
        <v>1</v>
      </c>
      <c r="L32" s="226">
        <f t="shared" si="6"/>
        <v>1.5313792295287907</v>
      </c>
      <c r="M32" s="229">
        <f t="shared" si="2"/>
        <v>6</v>
      </c>
      <c r="N32" s="221">
        <f t="shared" si="7"/>
        <v>11.641379229528791</v>
      </c>
      <c r="O32" s="230">
        <f t="shared" si="13"/>
        <v>13.969655075434549</v>
      </c>
      <c r="P32" s="229">
        <f t="shared" si="8"/>
        <v>239.83996194232026</v>
      </c>
      <c r="Q32" s="34"/>
      <c r="R32" s="34"/>
      <c r="S32" s="34"/>
      <c r="T32" s="33"/>
      <c r="V32" s="32"/>
      <c r="W32" s="32"/>
      <c r="X32" s="32"/>
      <c r="Y32" s="32"/>
    </row>
    <row r="33" spans="2:25" ht="13.5" thickBot="1">
      <c r="B33" s="210">
        <f t="shared" si="9"/>
        <v>20</v>
      </c>
      <c r="C33" s="235" t="s">
        <v>26</v>
      </c>
      <c r="D33" s="236">
        <v>60</v>
      </c>
      <c r="E33" s="237">
        <v>2</v>
      </c>
      <c r="F33" s="222">
        <f ca="1" t="shared" si="4"/>
        <v>124.89895833333344</v>
      </c>
      <c r="G33" s="221">
        <f t="shared" si="12"/>
        <v>1.8734843750000014</v>
      </c>
      <c r="H33" s="238">
        <v>0</v>
      </c>
      <c r="I33" s="225">
        <f t="shared" si="5"/>
        <v>0</v>
      </c>
      <c r="J33" s="224">
        <f ca="1" t="shared" si="1"/>
        <v>126.34593091707741</v>
      </c>
      <c r="K33" s="239">
        <v>1</v>
      </c>
      <c r="L33" s="226">
        <f t="shared" si="6"/>
        <v>2.0847078601317772</v>
      </c>
      <c r="M33" s="231">
        <f t="shared" si="2"/>
        <v>6</v>
      </c>
      <c r="N33" s="221">
        <f t="shared" si="7"/>
        <v>9.95819223513178</v>
      </c>
      <c r="O33" s="230">
        <f t="shared" si="13"/>
        <v>11.949830682158135</v>
      </c>
      <c r="P33" s="231">
        <f t="shared" si="8"/>
        <v>205.1623265248605</v>
      </c>
      <c r="Q33" s="34"/>
      <c r="R33" s="34"/>
      <c r="S33" s="34"/>
      <c r="T33" s="33"/>
      <c r="V33" s="32"/>
      <c r="W33" s="32"/>
      <c r="X33" s="32"/>
      <c r="Y33" s="32"/>
    </row>
    <row r="34" spans="3:16" ht="13.5" thickBot="1">
      <c r="C34" s="211" t="s">
        <v>10</v>
      </c>
      <c r="D34" s="212"/>
      <c r="E34" s="212"/>
      <c r="F34" s="213">
        <f aca="true" t="shared" si="14" ref="F34:P34">SUM(F14:F33)</f>
        <v>4904.228958333333</v>
      </c>
      <c r="G34" s="214">
        <f t="shared" si="14"/>
        <v>73.563434375</v>
      </c>
      <c r="H34" s="214"/>
      <c r="I34" s="214">
        <f t="shared" si="14"/>
        <v>0</v>
      </c>
      <c r="J34" s="215">
        <f t="shared" si="14"/>
        <v>1433.68486117264</v>
      </c>
      <c r="K34" s="215"/>
      <c r="L34" s="214">
        <f t="shared" si="14"/>
        <v>23.65580020934855</v>
      </c>
      <c r="M34" s="214">
        <f t="shared" si="14"/>
        <v>120</v>
      </c>
      <c r="N34" s="216">
        <f t="shared" si="14"/>
        <v>217.21923458434856</v>
      </c>
      <c r="O34" s="217">
        <f t="shared" si="14"/>
        <v>260.66308150121824</v>
      </c>
      <c r="P34" s="218">
        <f t="shared" si="14"/>
        <v>4475.230290900751</v>
      </c>
    </row>
    <row r="38" spans="3:20" ht="12.75">
      <c r="C38" s="247"/>
      <c r="D38" s="248"/>
      <c r="E38" s="249"/>
      <c r="F38" s="248"/>
      <c r="G38" s="249"/>
      <c r="H38" s="248"/>
      <c r="I38" s="249"/>
      <c r="J38" s="248"/>
      <c r="K38" s="249"/>
      <c r="L38" s="248"/>
      <c r="M38" s="249"/>
      <c r="N38" s="248"/>
      <c r="O38" s="249"/>
      <c r="P38" s="248"/>
      <c r="Q38" s="249"/>
      <c r="R38" s="248"/>
      <c r="S38" s="249"/>
      <c r="T38" s="248"/>
    </row>
    <row r="39" ht="12.75">
      <c r="C39" s="247"/>
    </row>
    <row r="40" ht="12.75">
      <c r="C40" s="247"/>
    </row>
    <row r="41" ht="12.75">
      <c r="C41" s="247"/>
    </row>
    <row r="42" ht="12.75">
      <c r="C42" s="247"/>
    </row>
    <row r="43" ht="12.75">
      <c r="C43" s="247"/>
    </row>
    <row r="44" ht="12.75">
      <c r="C44" s="247"/>
    </row>
    <row r="47" spans="5:20" ht="12.75"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</row>
    <row r="48" spans="5:20" ht="12.75"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</row>
    <row r="49" spans="5:20" ht="12.75"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</row>
    <row r="50" spans="5:20" ht="12.75"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</row>
    <row r="51" spans="5:20" ht="12.75"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</row>
    <row r="52" spans="5:20" ht="12.75"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</row>
    <row r="53" spans="5:20" ht="12.75"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</row>
    <row r="56" spans="3:13" ht="12.75">
      <c r="C56" s="247"/>
      <c r="D56" s="248"/>
      <c r="E56" s="248"/>
      <c r="F56" s="248"/>
      <c r="G56" s="248"/>
      <c r="H56" s="248"/>
      <c r="I56" s="248"/>
      <c r="J56" s="248"/>
      <c r="K56" s="248"/>
      <c r="L56" s="248"/>
      <c r="M56" s="248"/>
    </row>
    <row r="62" spans="3:28" ht="12.75">
      <c r="C62" s="247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4:27" ht="12.75">
      <c r="D63" s="252"/>
      <c r="E63" s="252"/>
      <c r="F63" s="252"/>
      <c r="G63" s="252"/>
      <c r="H63" s="252"/>
      <c r="I63" s="252"/>
      <c r="J63" s="252"/>
      <c r="K63" s="252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</row>
    <row r="64" spans="4:27" ht="12.75">
      <c r="D64" s="252"/>
      <c r="E64" s="252"/>
      <c r="F64" s="252"/>
      <c r="G64" s="252"/>
      <c r="H64" s="252"/>
      <c r="I64" s="252"/>
      <c r="J64" s="252"/>
      <c r="K64" s="252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</row>
    <row r="65" spans="4:27" ht="12.75">
      <c r="D65" s="252"/>
      <c r="E65" s="252"/>
      <c r="F65" s="252"/>
      <c r="G65" s="252"/>
      <c r="H65" s="252"/>
      <c r="I65" s="252"/>
      <c r="J65" s="252"/>
      <c r="K65" s="252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</row>
    <row r="67" spans="3:27" ht="12.75">
      <c r="C67" s="247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72" spans="12:27" ht="12.75"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3:27" ht="12.75">
      <c r="C73" s="247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3:27" ht="12.75">
      <c r="C74" s="255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253"/>
    </row>
    <row r="75" spans="3:27" ht="12.75">
      <c r="C75" s="255"/>
      <c r="D75" s="253"/>
      <c r="E75" s="253"/>
      <c r="F75" s="253"/>
      <c r="G75" s="253"/>
      <c r="H75" s="253"/>
      <c r="I75" s="253"/>
      <c r="J75" s="253"/>
      <c r="K75" s="253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</row>
    <row r="76" spans="3:27" ht="12.75">
      <c r="C76" s="255"/>
      <c r="D76" s="253"/>
      <c r="E76" s="253"/>
      <c r="F76" s="253"/>
      <c r="G76" s="253"/>
      <c r="H76" s="253"/>
      <c r="I76" s="253"/>
      <c r="J76" s="253"/>
      <c r="K76" s="253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</row>
    <row r="77" spans="3:27" ht="12.75">
      <c r="C77" s="255"/>
      <c r="D77" s="253"/>
      <c r="E77" s="253"/>
      <c r="F77" s="253"/>
      <c r="G77" s="253"/>
      <c r="H77" s="253"/>
      <c r="I77" s="253"/>
      <c r="J77" s="253"/>
      <c r="K77" s="253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</row>
    <row r="78" spans="3:27" ht="12.75">
      <c r="C78" s="255"/>
      <c r="D78" s="253"/>
      <c r="E78" s="253"/>
      <c r="F78" s="253"/>
      <c r="G78" s="253"/>
      <c r="H78" s="253"/>
      <c r="I78" s="253"/>
      <c r="J78" s="253"/>
      <c r="K78" s="253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</row>
    <row r="79" spans="3:27" ht="12.75">
      <c r="C79" s="255"/>
      <c r="D79" s="253"/>
      <c r="E79" s="253"/>
      <c r="F79" s="253"/>
      <c r="G79" s="253"/>
      <c r="H79" s="253"/>
      <c r="I79" s="253"/>
      <c r="J79" s="253"/>
      <c r="K79" s="253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</row>
    <row r="80" spans="3:27" ht="12.75">
      <c r="C80" s="255"/>
      <c r="D80" s="253"/>
      <c r="E80" s="253"/>
      <c r="F80" s="253"/>
      <c r="G80" s="253"/>
      <c r="H80" s="253"/>
      <c r="I80" s="253"/>
      <c r="J80" s="253"/>
      <c r="K80" s="253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</row>
    <row r="81" spans="3:27" ht="12.75">
      <c r="C81" s="255"/>
      <c r="D81" s="253"/>
      <c r="E81" s="253"/>
      <c r="F81" s="253"/>
      <c r="G81" s="253"/>
      <c r="H81" s="253"/>
      <c r="I81" s="253"/>
      <c r="J81" s="253"/>
      <c r="K81" s="253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X81" s="254"/>
      <c r="Y81" s="254"/>
      <c r="Z81" s="254"/>
      <c r="AA81" s="254"/>
    </row>
    <row r="82" spans="3:27" ht="12.75">
      <c r="C82" s="255"/>
      <c r="D82" s="253"/>
      <c r="E82" s="253"/>
      <c r="F82" s="253"/>
      <c r="G82" s="253"/>
      <c r="H82" s="253"/>
      <c r="I82" s="253"/>
      <c r="J82" s="253"/>
      <c r="K82" s="253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4"/>
      <c r="X82" s="254"/>
      <c r="Y82" s="254"/>
      <c r="Z82" s="254"/>
      <c r="AA82" s="254"/>
    </row>
    <row r="83" spans="3:27" ht="12.75">
      <c r="C83" s="255"/>
      <c r="D83" s="253"/>
      <c r="E83" s="253"/>
      <c r="F83" s="253"/>
      <c r="G83" s="253"/>
      <c r="H83" s="253"/>
      <c r="I83" s="253"/>
      <c r="J83" s="253"/>
      <c r="K83" s="253"/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4"/>
      <c r="X83" s="254"/>
      <c r="Y83" s="254"/>
      <c r="Z83" s="254"/>
      <c r="AA83" s="254"/>
    </row>
    <row r="84" spans="3:27" ht="12.75">
      <c r="C84" s="255"/>
      <c r="D84" s="253"/>
      <c r="E84" s="253"/>
      <c r="F84" s="253"/>
      <c r="G84" s="253"/>
      <c r="H84" s="253"/>
      <c r="I84" s="253"/>
      <c r="J84" s="253"/>
      <c r="K84" s="253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  <c r="Y84" s="254"/>
      <c r="Z84" s="254"/>
      <c r="AA84" s="254"/>
    </row>
    <row r="85" spans="3:27" ht="12.75">
      <c r="C85" s="255"/>
      <c r="D85" s="253"/>
      <c r="E85" s="253"/>
      <c r="F85" s="253"/>
      <c r="G85" s="253"/>
      <c r="H85" s="253"/>
      <c r="I85" s="253"/>
      <c r="J85" s="253"/>
      <c r="K85" s="253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</row>
    <row r="86" spans="3:27" ht="12.75">
      <c r="C86" s="255"/>
      <c r="D86" s="253"/>
      <c r="E86" s="253"/>
      <c r="F86" s="253"/>
      <c r="G86" s="253"/>
      <c r="H86" s="253"/>
      <c r="I86" s="253"/>
      <c r="J86" s="253"/>
      <c r="K86" s="253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4"/>
      <c r="X86" s="254"/>
      <c r="Y86" s="254"/>
      <c r="Z86" s="254"/>
      <c r="AA86" s="254"/>
    </row>
    <row r="87" spans="3:27" ht="12.75">
      <c r="C87" s="255"/>
      <c r="D87" s="253"/>
      <c r="E87" s="253"/>
      <c r="F87" s="253"/>
      <c r="G87" s="253"/>
      <c r="H87" s="253"/>
      <c r="I87" s="253"/>
      <c r="J87" s="253"/>
      <c r="K87" s="253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</row>
    <row r="88" spans="3:27" ht="12.75">
      <c r="C88" s="255"/>
      <c r="D88" s="253"/>
      <c r="E88" s="253"/>
      <c r="F88" s="253"/>
      <c r="G88" s="253"/>
      <c r="H88" s="253"/>
      <c r="I88" s="253"/>
      <c r="J88" s="253"/>
      <c r="K88" s="253"/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254"/>
      <c r="W88" s="254"/>
      <c r="X88" s="254"/>
      <c r="Y88" s="254"/>
      <c r="Z88" s="254"/>
      <c r="AA88" s="254"/>
    </row>
    <row r="89" spans="3:27" ht="12.75">
      <c r="C89" s="255"/>
      <c r="D89" s="253"/>
      <c r="E89" s="253"/>
      <c r="F89" s="253"/>
      <c r="G89" s="253"/>
      <c r="H89" s="253"/>
      <c r="I89" s="253"/>
      <c r="J89" s="253"/>
      <c r="K89" s="253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</row>
    <row r="91" spans="3:27" ht="12.75">
      <c r="C91" s="247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3:27" ht="12.75">
      <c r="C92" s="255"/>
      <c r="D92" s="253"/>
      <c r="E92" s="253"/>
      <c r="F92" s="253"/>
      <c r="G92" s="253"/>
      <c r="H92" s="253"/>
      <c r="I92" s="253"/>
      <c r="J92" s="253"/>
      <c r="K92" s="253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</row>
    <row r="93" spans="3:27" ht="12.75">
      <c r="C93" s="255"/>
      <c r="D93" s="253"/>
      <c r="E93" s="253"/>
      <c r="F93" s="253"/>
      <c r="G93" s="253"/>
      <c r="H93" s="253"/>
      <c r="I93" s="253"/>
      <c r="J93" s="253"/>
      <c r="K93" s="253"/>
      <c r="L93" s="254"/>
      <c r="M93" s="254"/>
      <c r="N93" s="254"/>
      <c r="O93" s="254"/>
      <c r="P93" s="254"/>
      <c r="Q93" s="254"/>
      <c r="R93" s="254"/>
      <c r="S93" s="254"/>
      <c r="T93" s="254"/>
      <c r="U93" s="254"/>
      <c r="V93" s="254"/>
      <c r="W93" s="254"/>
      <c r="X93" s="254"/>
      <c r="Y93" s="254"/>
      <c r="Z93" s="254"/>
      <c r="AA93" s="254"/>
    </row>
    <row r="94" spans="3:27" ht="12.75">
      <c r="C94" s="255"/>
      <c r="D94" s="253"/>
      <c r="E94" s="253"/>
      <c r="F94" s="253"/>
      <c r="G94" s="253"/>
      <c r="H94" s="253"/>
      <c r="I94" s="253"/>
      <c r="J94" s="253"/>
      <c r="K94" s="253"/>
      <c r="L94" s="254"/>
      <c r="M94" s="254"/>
      <c r="N94" s="254"/>
      <c r="O94" s="254"/>
      <c r="P94" s="254"/>
      <c r="Q94" s="254"/>
      <c r="R94" s="254"/>
      <c r="S94" s="254"/>
      <c r="T94" s="254"/>
      <c r="U94" s="254"/>
      <c r="V94" s="254"/>
      <c r="W94" s="254"/>
      <c r="X94" s="254"/>
      <c r="Y94" s="254"/>
      <c r="Z94" s="254"/>
      <c r="AA94" s="254"/>
    </row>
    <row r="95" spans="3:27" ht="12.75">
      <c r="C95" s="255"/>
      <c r="D95" s="253"/>
      <c r="E95" s="253"/>
      <c r="F95" s="253"/>
      <c r="G95" s="253"/>
      <c r="H95" s="253"/>
      <c r="I95" s="253"/>
      <c r="J95" s="253"/>
      <c r="K95" s="253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</row>
    <row r="96" spans="3:27" ht="12.75">
      <c r="C96" s="255"/>
      <c r="D96" s="253"/>
      <c r="E96" s="253"/>
      <c r="F96" s="253"/>
      <c r="G96" s="253"/>
      <c r="H96" s="253"/>
      <c r="I96" s="253"/>
      <c r="J96" s="253"/>
      <c r="K96" s="253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</row>
    <row r="97" spans="3:27" ht="12.75">
      <c r="C97" s="255"/>
      <c r="D97" s="253"/>
      <c r="E97" s="253"/>
      <c r="F97" s="253"/>
      <c r="G97" s="253"/>
      <c r="H97" s="253"/>
      <c r="I97" s="253"/>
      <c r="J97" s="253"/>
      <c r="K97" s="253"/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254"/>
    </row>
    <row r="98" spans="3:27" ht="12.75">
      <c r="C98" s="255"/>
      <c r="D98" s="253"/>
      <c r="E98" s="253"/>
      <c r="F98" s="253"/>
      <c r="G98" s="253"/>
      <c r="H98" s="253"/>
      <c r="I98" s="253"/>
      <c r="J98" s="253"/>
      <c r="K98" s="253"/>
      <c r="L98" s="254"/>
      <c r="M98" s="254"/>
      <c r="N98" s="254"/>
      <c r="O98" s="254"/>
      <c r="P98" s="254"/>
      <c r="Q98" s="254"/>
      <c r="R98" s="254"/>
      <c r="S98" s="254"/>
      <c r="T98" s="254"/>
      <c r="U98" s="254"/>
      <c r="V98" s="254"/>
      <c r="W98" s="254"/>
      <c r="X98" s="254"/>
      <c r="Y98" s="254"/>
      <c r="Z98" s="254"/>
      <c r="AA98" s="254"/>
    </row>
    <row r="99" spans="3:27" ht="12.75">
      <c r="C99" s="255"/>
      <c r="D99" s="253"/>
      <c r="E99" s="253"/>
      <c r="F99" s="253"/>
      <c r="G99" s="253"/>
      <c r="H99" s="253"/>
      <c r="I99" s="253"/>
      <c r="J99" s="253"/>
      <c r="K99" s="253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54"/>
    </row>
    <row r="100" spans="3:27" ht="12.75">
      <c r="C100" s="255"/>
      <c r="D100" s="253"/>
      <c r="E100" s="253"/>
      <c r="F100" s="253"/>
      <c r="G100" s="253"/>
      <c r="H100" s="253"/>
      <c r="I100" s="253"/>
      <c r="J100" s="253"/>
      <c r="K100" s="253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X100" s="254"/>
      <c r="Y100" s="254"/>
      <c r="Z100" s="254"/>
      <c r="AA100" s="254"/>
    </row>
    <row r="101" spans="3:27" ht="12.75">
      <c r="C101" s="255"/>
      <c r="D101" s="253"/>
      <c r="E101" s="253"/>
      <c r="F101" s="253"/>
      <c r="G101" s="253"/>
      <c r="H101" s="253"/>
      <c r="I101" s="253"/>
      <c r="J101" s="253"/>
      <c r="K101" s="253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X101" s="254"/>
      <c r="Y101" s="254"/>
      <c r="Z101" s="254"/>
      <c r="AA101" s="254"/>
    </row>
    <row r="102" spans="3:27" ht="12.75">
      <c r="C102" s="255"/>
      <c r="D102" s="253"/>
      <c r="E102" s="253"/>
      <c r="F102" s="253"/>
      <c r="G102" s="253"/>
      <c r="H102" s="253"/>
      <c r="I102" s="253"/>
      <c r="J102" s="253"/>
      <c r="K102" s="253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  <c r="Y102" s="254"/>
      <c r="Z102" s="254"/>
      <c r="AA102" s="254"/>
    </row>
    <row r="103" spans="3:27" ht="12.75">
      <c r="C103" s="255"/>
      <c r="D103" s="253"/>
      <c r="E103" s="253"/>
      <c r="F103" s="253"/>
      <c r="G103" s="253"/>
      <c r="H103" s="253"/>
      <c r="I103" s="253"/>
      <c r="J103" s="253"/>
      <c r="K103" s="253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X103" s="254"/>
      <c r="Y103" s="254"/>
      <c r="Z103" s="254"/>
      <c r="AA103" s="254"/>
    </row>
    <row r="104" spans="3:27" ht="12.75">
      <c r="C104" s="255"/>
      <c r="D104" s="253"/>
      <c r="E104" s="253"/>
      <c r="F104" s="253"/>
      <c r="G104" s="253"/>
      <c r="H104" s="253"/>
      <c r="I104" s="253"/>
      <c r="J104" s="253"/>
      <c r="K104" s="253"/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X104" s="254"/>
      <c r="Y104" s="254"/>
      <c r="Z104" s="254"/>
      <c r="AA104" s="254"/>
    </row>
    <row r="105" spans="3:27" ht="12.75">
      <c r="C105" s="255"/>
      <c r="D105" s="253"/>
      <c r="E105" s="253"/>
      <c r="F105" s="253"/>
      <c r="G105" s="253"/>
      <c r="H105" s="253"/>
      <c r="I105" s="253"/>
      <c r="J105" s="253"/>
      <c r="K105" s="253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X105" s="254"/>
      <c r="Y105" s="254"/>
      <c r="Z105" s="254"/>
      <c r="AA105" s="254"/>
    </row>
    <row r="106" spans="3:27" ht="12.75">
      <c r="C106" s="255"/>
      <c r="D106" s="253"/>
      <c r="E106" s="253"/>
      <c r="F106" s="253"/>
      <c r="G106" s="253"/>
      <c r="H106" s="253"/>
      <c r="I106" s="253"/>
      <c r="J106" s="253"/>
      <c r="K106" s="253"/>
      <c r="L106" s="254"/>
      <c r="M106" s="254"/>
      <c r="N106" s="254"/>
      <c r="O106" s="254"/>
      <c r="P106" s="254"/>
      <c r="Q106" s="254"/>
      <c r="R106" s="254"/>
      <c r="S106" s="254"/>
      <c r="T106" s="254"/>
      <c r="U106" s="254"/>
      <c r="V106" s="254"/>
      <c r="W106" s="254"/>
      <c r="X106" s="254"/>
      <c r="Y106" s="254"/>
      <c r="Z106" s="254"/>
      <c r="AA106" s="254"/>
    </row>
    <row r="107" spans="3:27" ht="12.75">
      <c r="C107" s="255"/>
      <c r="D107" s="253"/>
      <c r="E107" s="253"/>
      <c r="F107" s="253"/>
      <c r="G107" s="253"/>
      <c r="H107" s="253"/>
      <c r="I107" s="253"/>
      <c r="J107" s="253"/>
      <c r="K107" s="253"/>
      <c r="L107" s="254"/>
      <c r="M107" s="254"/>
      <c r="N107" s="254"/>
      <c r="O107" s="254"/>
      <c r="P107" s="254"/>
      <c r="Q107" s="254"/>
      <c r="R107" s="254"/>
      <c r="S107" s="254"/>
      <c r="T107" s="254"/>
      <c r="U107" s="254"/>
      <c r="V107" s="254"/>
      <c r="W107" s="254"/>
      <c r="X107" s="254"/>
      <c r="Y107" s="254"/>
      <c r="Z107" s="254"/>
      <c r="AA107" s="254"/>
    </row>
    <row r="109" spans="4:11" s="258" customFormat="1" ht="12.75">
      <c r="D109" s="259"/>
      <c r="E109" s="259"/>
      <c r="F109" s="259"/>
      <c r="G109" s="259"/>
      <c r="H109" s="259"/>
      <c r="I109" s="259"/>
      <c r="J109" s="259"/>
      <c r="K109" s="259"/>
    </row>
    <row r="110" spans="3:27" ht="12.75">
      <c r="C110" s="247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5" spans="3:27" ht="12.75">
      <c r="C115" s="247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20" spans="3:27" ht="12.75">
      <c r="C120" s="247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5" spans="3:22" ht="12.75">
      <c r="C125" s="247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30" spans="3:27" ht="12.75">
      <c r="C130" s="247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5" spans="3:27" ht="12.75">
      <c r="C135" s="247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40" spans="3:27" ht="12.75">
      <c r="C140" s="247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5" spans="3:27" ht="12.75">
      <c r="C145" s="247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50" spans="4:11" s="256" customFormat="1" ht="12.75">
      <c r="D150" s="257"/>
      <c r="E150" s="257"/>
      <c r="F150" s="257"/>
      <c r="G150" s="257"/>
      <c r="H150" s="257"/>
      <c r="I150" s="257"/>
      <c r="J150" s="257"/>
      <c r="K150" s="257"/>
    </row>
    <row r="152" spans="3:14" ht="12.75">
      <c r="C152" s="247"/>
      <c r="D152" s="248"/>
      <c r="E152" s="248"/>
      <c r="F152" s="248"/>
      <c r="G152" s="248"/>
      <c r="H152" s="248"/>
      <c r="I152" s="248"/>
      <c r="J152" s="248"/>
      <c r="K152" s="248"/>
      <c r="L152" s="248"/>
      <c r="M152" s="248"/>
      <c r="N152" s="248"/>
    </row>
    <row r="153" spans="4:14" ht="12.75">
      <c r="D153" s="253"/>
      <c r="E153" s="253"/>
      <c r="F153" s="253"/>
      <c r="G153" s="253"/>
      <c r="H153" s="253"/>
      <c r="I153" s="253"/>
      <c r="J153" s="253"/>
      <c r="K153" s="253"/>
      <c r="L153" s="254"/>
      <c r="M153" s="254"/>
      <c r="N153" s="254"/>
    </row>
    <row r="154" spans="4:14" ht="12.75">
      <c r="D154" s="253"/>
      <c r="E154" s="253"/>
      <c r="F154" s="253"/>
      <c r="G154" s="253"/>
      <c r="H154" s="253"/>
      <c r="I154" s="253"/>
      <c r="J154" s="253"/>
      <c r="K154" s="253"/>
      <c r="L154" s="254"/>
      <c r="M154" s="254"/>
      <c r="N154" s="254"/>
    </row>
    <row r="155" spans="4:14" ht="12.75">
      <c r="D155" s="253"/>
      <c r="E155" s="253"/>
      <c r="F155" s="253"/>
      <c r="G155" s="253"/>
      <c r="H155" s="253"/>
      <c r="I155" s="253"/>
      <c r="J155" s="253"/>
      <c r="K155" s="253"/>
      <c r="L155" s="254"/>
      <c r="M155" s="254"/>
      <c r="N155" s="254"/>
    </row>
    <row r="156" spans="4:14" ht="12.75">
      <c r="D156" s="253"/>
      <c r="E156" s="253"/>
      <c r="F156" s="253"/>
      <c r="G156" s="253"/>
      <c r="H156" s="253"/>
      <c r="I156" s="253"/>
      <c r="J156" s="253"/>
      <c r="K156" s="253"/>
      <c r="L156" s="254"/>
      <c r="M156" s="254"/>
      <c r="N156" s="254"/>
    </row>
    <row r="157" spans="4:14" ht="12.75">
      <c r="D157" s="253"/>
      <c r="E157" s="253"/>
      <c r="F157" s="253"/>
      <c r="G157" s="253"/>
      <c r="H157" s="253"/>
      <c r="I157" s="253"/>
      <c r="J157" s="253"/>
      <c r="K157" s="253"/>
      <c r="L157" s="254"/>
      <c r="M157" s="254"/>
      <c r="N157" s="254"/>
    </row>
    <row r="158" spans="4:14" ht="12.75">
      <c r="D158" s="253"/>
      <c r="E158" s="253"/>
      <c r="F158" s="253"/>
      <c r="G158" s="253"/>
      <c r="H158" s="253"/>
      <c r="I158" s="253"/>
      <c r="J158" s="253"/>
      <c r="K158" s="253"/>
      <c r="L158" s="254"/>
      <c r="M158" s="254"/>
      <c r="N158" s="254"/>
    </row>
    <row r="159" spans="4:14" ht="12.75">
      <c r="D159" s="253"/>
      <c r="E159" s="253"/>
      <c r="F159" s="253"/>
      <c r="G159" s="253"/>
      <c r="H159" s="253"/>
      <c r="I159" s="253"/>
      <c r="J159" s="253"/>
      <c r="K159" s="253"/>
      <c r="L159" s="254"/>
      <c r="M159" s="254"/>
      <c r="N159" s="254"/>
    </row>
    <row r="160" spans="4:14" ht="12.75">
      <c r="D160" s="253"/>
      <c r="E160" s="253"/>
      <c r="F160" s="253"/>
      <c r="G160" s="253"/>
      <c r="H160" s="253"/>
      <c r="I160" s="253"/>
      <c r="J160" s="253"/>
      <c r="K160" s="253"/>
      <c r="L160" s="254"/>
      <c r="M160" s="254"/>
      <c r="N160" s="254"/>
    </row>
    <row r="161" spans="4:14" ht="12.75">
      <c r="D161" s="253"/>
      <c r="E161" s="253"/>
      <c r="F161" s="253"/>
      <c r="G161" s="253"/>
      <c r="H161" s="253"/>
      <c r="I161" s="253"/>
      <c r="J161" s="253"/>
      <c r="K161" s="253"/>
      <c r="L161" s="254"/>
      <c r="M161" s="254"/>
      <c r="N161" s="254"/>
    </row>
    <row r="162" spans="4:14" ht="12.75">
      <c r="D162" s="253"/>
      <c r="E162" s="253"/>
      <c r="F162" s="253"/>
      <c r="G162" s="253"/>
      <c r="H162" s="253"/>
      <c r="I162" s="253"/>
      <c r="J162" s="253"/>
      <c r="K162" s="253"/>
      <c r="L162" s="254"/>
      <c r="M162" s="254"/>
      <c r="N162" s="254"/>
    </row>
    <row r="163" spans="4:14" ht="12.75">
      <c r="D163" s="253"/>
      <c r="E163" s="253"/>
      <c r="F163" s="253"/>
      <c r="G163" s="253"/>
      <c r="H163" s="253"/>
      <c r="I163" s="253"/>
      <c r="J163" s="253"/>
      <c r="K163" s="253"/>
      <c r="L163" s="254"/>
      <c r="M163" s="254"/>
      <c r="N163" s="254"/>
    </row>
    <row r="164" spans="4:14" ht="12.75">
      <c r="D164" s="253"/>
      <c r="E164" s="253"/>
      <c r="F164" s="253"/>
      <c r="G164" s="253"/>
      <c r="H164" s="253"/>
      <c r="I164" s="253"/>
      <c r="J164" s="253"/>
      <c r="K164" s="253"/>
      <c r="L164" s="254"/>
      <c r="M164" s="254"/>
      <c r="N164" s="254"/>
    </row>
    <row r="165" spans="4:14" ht="12.75">
      <c r="D165" s="253"/>
      <c r="E165" s="253"/>
      <c r="F165" s="253"/>
      <c r="G165" s="253"/>
      <c r="H165" s="253"/>
      <c r="I165" s="253"/>
      <c r="J165" s="253"/>
      <c r="K165" s="253"/>
      <c r="L165" s="254"/>
      <c r="M165" s="254"/>
      <c r="N165" s="254"/>
    </row>
    <row r="166" spans="4:14" ht="12.75">
      <c r="D166" s="253"/>
      <c r="E166" s="253"/>
      <c r="F166" s="253"/>
      <c r="G166" s="253"/>
      <c r="H166" s="253"/>
      <c r="I166" s="253"/>
      <c r="J166" s="253"/>
      <c r="K166" s="253"/>
      <c r="L166" s="254"/>
      <c r="M166" s="254"/>
      <c r="N166" s="254"/>
    </row>
    <row r="167" spans="4:14" ht="12.75">
      <c r="D167" s="253"/>
      <c r="E167" s="253"/>
      <c r="F167" s="253"/>
      <c r="G167" s="253"/>
      <c r="H167" s="253"/>
      <c r="I167" s="253"/>
      <c r="J167" s="253"/>
      <c r="K167" s="253"/>
      <c r="L167" s="254"/>
      <c r="M167" s="254"/>
      <c r="N167" s="254"/>
    </row>
    <row r="168" spans="4:14" ht="12.75">
      <c r="D168" s="253"/>
      <c r="E168" s="253"/>
      <c r="F168" s="253"/>
      <c r="G168" s="253"/>
      <c r="H168" s="253"/>
      <c r="I168" s="253"/>
      <c r="J168" s="253"/>
      <c r="K168" s="253"/>
      <c r="L168" s="254"/>
      <c r="M168" s="254"/>
      <c r="N168" s="254"/>
    </row>
    <row r="169" spans="4:14" ht="12.75">
      <c r="D169" s="253"/>
      <c r="E169" s="253"/>
      <c r="F169" s="253"/>
      <c r="G169" s="253"/>
      <c r="H169" s="253"/>
      <c r="I169" s="253"/>
      <c r="J169" s="253"/>
      <c r="K169" s="253"/>
      <c r="L169" s="254"/>
      <c r="M169" s="254"/>
      <c r="N169" s="254"/>
    </row>
    <row r="170" spans="4:14" ht="12.75">
      <c r="D170" s="253"/>
      <c r="E170" s="253"/>
      <c r="F170" s="253"/>
      <c r="G170" s="253"/>
      <c r="H170" s="253"/>
      <c r="I170" s="253"/>
      <c r="J170" s="253"/>
      <c r="K170" s="253"/>
      <c r="L170" s="254"/>
      <c r="M170" s="254"/>
      <c r="N170" s="254"/>
    </row>
    <row r="171" spans="4:14" ht="12.75">
      <c r="D171" s="253"/>
      <c r="E171" s="253"/>
      <c r="F171" s="253"/>
      <c r="G171" s="253"/>
      <c r="H171" s="253"/>
      <c r="I171" s="253"/>
      <c r="J171" s="253"/>
      <c r="K171" s="253"/>
      <c r="L171" s="254"/>
      <c r="M171" s="254"/>
      <c r="N171" s="254"/>
    </row>
    <row r="172" spans="4:14" ht="12.75">
      <c r="D172" s="253"/>
      <c r="E172" s="253"/>
      <c r="F172" s="253"/>
      <c r="G172" s="253"/>
      <c r="H172" s="253"/>
      <c r="I172" s="253"/>
      <c r="J172" s="253"/>
      <c r="K172" s="253"/>
      <c r="L172" s="254"/>
      <c r="M172" s="254"/>
      <c r="N172" s="254"/>
    </row>
    <row r="173" spans="4:14" ht="12.75">
      <c r="D173" s="253"/>
      <c r="E173" s="253"/>
      <c r="F173" s="253"/>
      <c r="G173" s="253"/>
      <c r="H173" s="253"/>
      <c r="I173" s="253"/>
      <c r="J173" s="253"/>
      <c r="K173" s="253"/>
      <c r="L173" s="254"/>
      <c r="M173" s="254"/>
      <c r="N173" s="254"/>
    </row>
    <row r="174" spans="4:14" ht="12.75">
      <c r="D174" s="253"/>
      <c r="E174" s="253"/>
      <c r="F174" s="253"/>
      <c r="G174" s="253"/>
      <c r="H174" s="253"/>
      <c r="I174" s="253"/>
      <c r="J174" s="253"/>
      <c r="K174" s="253"/>
      <c r="L174" s="254"/>
      <c r="M174" s="254"/>
      <c r="N174" s="254"/>
    </row>
    <row r="175" spans="4:14" ht="12.75">
      <c r="D175" s="253"/>
      <c r="E175" s="253"/>
      <c r="F175" s="253"/>
      <c r="G175" s="253"/>
      <c r="H175" s="253"/>
      <c r="I175" s="253"/>
      <c r="J175" s="253"/>
      <c r="K175" s="253"/>
      <c r="L175" s="254"/>
      <c r="M175" s="254"/>
      <c r="N175" s="254"/>
    </row>
    <row r="176" spans="4:14" ht="12.75">
      <c r="D176" s="253"/>
      <c r="E176" s="253"/>
      <c r="F176" s="253"/>
      <c r="G176" s="253"/>
      <c r="H176" s="253"/>
      <c r="I176" s="253"/>
      <c r="J176" s="253"/>
      <c r="K176" s="253"/>
      <c r="L176" s="254"/>
      <c r="M176" s="254"/>
      <c r="N176" s="254"/>
    </row>
    <row r="177" spans="12:14" ht="12.75">
      <c r="L177" s="1"/>
      <c r="M177" s="1"/>
      <c r="N177" s="1"/>
    </row>
  </sheetData>
  <sheetProtection/>
  <mergeCells count="7">
    <mergeCell ref="O11:P11"/>
    <mergeCell ref="B5:E5"/>
    <mergeCell ref="B9:E9"/>
    <mergeCell ref="B11:F11"/>
    <mergeCell ref="H11:I11"/>
    <mergeCell ref="B6:E6"/>
    <mergeCell ref="J11:L11"/>
  </mergeCells>
  <dataValidations count="2">
    <dataValidation type="list" allowBlank="1" showInputMessage="1" showErrorMessage="1" sqref="C14:C33">
      <formula1>"Buche,Eiche,Birke,Esche,Fichte,Kiefer,Douglasie,Europ._Lärche,"</formula1>
    </dataValidation>
    <dataValidation type="list" allowBlank="1" showInputMessage="1" showErrorMessage="1" promptTitle="Erklärung:" prompt="Die Qualitätsstufen entstammen der Bewertungsrichtlinie der Nidersächsischen Landesforsten.&#10;2 = normal&#10;3 = mäßig&#10;4 = gering&#10;" sqref="E14:E33">
      <formula1>"2,3,4"</formula1>
    </dataValidation>
  </dataValidations>
  <printOptions horizontalCentered="1"/>
  <pageMargins left="0.15" right="0" top="0.5905511811023623" bottom="0.6299212598425197" header="0.5118110236220472" footer="0.511811023622047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2:AR193"/>
  <sheetViews>
    <sheetView showGridLines="0" zoomScale="70" zoomScaleNormal="70" zoomScalePageLayoutView="0" workbookViewId="0" topLeftCell="A1">
      <selection activeCell="C28" sqref="C28"/>
    </sheetView>
  </sheetViews>
  <sheetFormatPr defaultColWidth="11.421875" defaultRowHeight="12.75"/>
  <cols>
    <col min="1" max="1" width="6.28125" style="9" customWidth="1"/>
    <col min="2" max="2" width="7.00390625" style="30" customWidth="1"/>
    <col min="3" max="5" width="9.421875" style="30" customWidth="1"/>
    <col min="6" max="6" width="7.00390625" style="30" customWidth="1"/>
    <col min="7" max="9" width="9.421875" style="30" customWidth="1"/>
    <col min="10" max="30" width="11.57421875" style="0" hidden="1" customWidth="1"/>
    <col min="31" max="44" width="11.57421875" style="0" customWidth="1"/>
    <col min="45" max="16384" width="11.421875" style="9" customWidth="1"/>
  </cols>
  <sheetData>
    <row r="2" spans="2:14" s="61" customFormat="1" ht="52.5" customHeight="1">
      <c r="B2" s="271" t="s">
        <v>63</v>
      </c>
      <c r="C2" s="271"/>
      <c r="D2" s="271"/>
      <c r="E2" s="271"/>
      <c r="F2" s="271"/>
      <c r="G2" s="271"/>
      <c r="H2" s="271"/>
      <c r="I2" s="271"/>
      <c r="N2" s="61">
        <f>0.4234/5</f>
        <v>0.08468</v>
      </c>
    </row>
    <row r="3" spans="2:14" s="61" customFormat="1" ht="45" customHeight="1">
      <c r="B3" s="272" t="s">
        <v>43</v>
      </c>
      <c r="C3" s="272"/>
      <c r="D3" s="272"/>
      <c r="E3" s="272"/>
      <c r="F3" s="272"/>
      <c r="G3" s="272"/>
      <c r="H3" s="272"/>
      <c r="I3" s="272"/>
      <c r="N3" s="61">
        <f>+N2*2</f>
        <v>0.16936</v>
      </c>
    </row>
    <row r="4" spans="2:9" s="81" customFormat="1" ht="18" customHeight="1">
      <c r="B4" s="93" t="s">
        <v>39</v>
      </c>
      <c r="C4" s="93"/>
      <c r="D4" s="93"/>
      <c r="E4" s="93"/>
      <c r="F4" s="93"/>
      <c r="G4" s="93"/>
      <c r="H4" s="93"/>
      <c r="I4" s="93"/>
    </row>
    <row r="5" ht="13.5" thickBot="1"/>
    <row r="6" spans="2:30" ht="18" customHeight="1">
      <c r="B6" s="5"/>
      <c r="C6" s="6"/>
      <c r="D6" s="8"/>
      <c r="E6" s="7"/>
      <c r="F6" s="5"/>
      <c r="G6" s="7"/>
      <c r="H6" s="7"/>
      <c r="I6" s="52"/>
      <c r="N6" s="142"/>
      <c r="O6" s="143"/>
      <c r="P6" s="144"/>
      <c r="Q6" s="145"/>
      <c r="R6" s="142"/>
      <c r="S6" s="145"/>
      <c r="T6" s="145"/>
      <c r="U6" s="146"/>
      <c r="W6" s="142"/>
      <c r="X6" s="143"/>
      <c r="Y6" s="144"/>
      <c r="Z6" s="146"/>
      <c r="AA6" s="142"/>
      <c r="AB6" s="143"/>
      <c r="AC6" s="144"/>
      <c r="AD6" s="146"/>
    </row>
    <row r="7" spans="2:30" ht="18" customHeight="1">
      <c r="B7" s="10"/>
      <c r="C7" s="65"/>
      <c r="D7" s="66" t="s">
        <v>67</v>
      </c>
      <c r="E7" s="67"/>
      <c r="F7" s="10"/>
      <c r="G7" s="65"/>
      <c r="H7" s="66" t="s">
        <v>12</v>
      </c>
      <c r="I7" s="67"/>
      <c r="J7" s="269" t="s">
        <v>66</v>
      </c>
      <c r="K7" s="270"/>
      <c r="L7" s="270"/>
      <c r="N7" s="147"/>
      <c r="O7" s="148"/>
      <c r="P7" s="149" t="s">
        <v>11</v>
      </c>
      <c r="Q7" s="150"/>
      <c r="R7" s="147"/>
      <c r="S7" s="148"/>
      <c r="T7" s="149" t="s">
        <v>12</v>
      </c>
      <c r="U7" s="150"/>
      <c r="W7" s="147"/>
      <c r="X7" s="148"/>
      <c r="Y7" s="149" t="s">
        <v>11</v>
      </c>
      <c r="Z7" s="150"/>
      <c r="AA7" s="147"/>
      <c r="AB7" s="148"/>
      <c r="AC7" s="149" t="s">
        <v>1</v>
      </c>
      <c r="AD7" s="150"/>
    </row>
    <row r="8" spans="2:30" ht="18" customHeight="1">
      <c r="B8" s="12" t="s">
        <v>4</v>
      </c>
      <c r="C8" s="31" t="s">
        <v>13</v>
      </c>
      <c r="D8" s="31" t="s">
        <v>14</v>
      </c>
      <c r="E8" s="31" t="s">
        <v>15</v>
      </c>
      <c r="F8" s="12" t="s">
        <v>4</v>
      </c>
      <c r="G8" s="31" t="s">
        <v>13</v>
      </c>
      <c r="H8" s="31" t="s">
        <v>14</v>
      </c>
      <c r="I8" s="53" t="s">
        <v>15</v>
      </c>
      <c r="J8" s="245" t="s">
        <v>13</v>
      </c>
      <c r="K8" s="245" t="s">
        <v>14</v>
      </c>
      <c r="L8" s="245" t="s">
        <v>15</v>
      </c>
      <c r="N8" s="151" t="s">
        <v>4</v>
      </c>
      <c r="O8" s="152" t="s">
        <v>13</v>
      </c>
      <c r="P8" s="152" t="s">
        <v>14</v>
      </c>
      <c r="Q8" s="152" t="s">
        <v>15</v>
      </c>
      <c r="R8" s="151" t="s">
        <v>4</v>
      </c>
      <c r="S8" s="152" t="s">
        <v>13</v>
      </c>
      <c r="T8" s="152" t="s">
        <v>14</v>
      </c>
      <c r="U8" s="153" t="s">
        <v>15</v>
      </c>
      <c r="W8" s="151" t="s">
        <v>4</v>
      </c>
      <c r="X8" s="152" t="s">
        <v>13</v>
      </c>
      <c r="Y8" s="152" t="s">
        <v>14</v>
      </c>
      <c r="Z8" s="153" t="s">
        <v>15</v>
      </c>
      <c r="AA8" s="151" t="s">
        <v>4</v>
      </c>
      <c r="AB8" s="152" t="s">
        <v>13</v>
      </c>
      <c r="AC8" s="152" t="s">
        <v>14</v>
      </c>
      <c r="AD8" s="153" t="s">
        <v>15</v>
      </c>
    </row>
    <row r="9" spans="2:30" ht="18" customHeight="1" thickBot="1">
      <c r="B9" s="12" t="s">
        <v>16</v>
      </c>
      <c r="C9" s="13" t="s">
        <v>17</v>
      </c>
      <c r="D9" s="13" t="s">
        <v>17</v>
      </c>
      <c r="E9" s="13" t="s">
        <v>17</v>
      </c>
      <c r="F9" s="12" t="s">
        <v>16</v>
      </c>
      <c r="G9" s="14" t="s">
        <v>17</v>
      </c>
      <c r="H9" s="13" t="s">
        <v>17</v>
      </c>
      <c r="I9" s="54" t="s">
        <v>17</v>
      </c>
      <c r="N9" s="151" t="s">
        <v>16</v>
      </c>
      <c r="O9" s="154" t="s">
        <v>17</v>
      </c>
      <c r="P9" s="154" t="s">
        <v>17</v>
      </c>
      <c r="Q9" s="154" t="s">
        <v>17</v>
      </c>
      <c r="R9" s="151" t="s">
        <v>16</v>
      </c>
      <c r="S9" s="155" t="s">
        <v>17</v>
      </c>
      <c r="T9" s="154" t="s">
        <v>17</v>
      </c>
      <c r="U9" s="156" t="s">
        <v>17</v>
      </c>
      <c r="W9" s="151" t="s">
        <v>16</v>
      </c>
      <c r="X9" s="154" t="s">
        <v>17</v>
      </c>
      <c r="Y9" s="154" t="s">
        <v>17</v>
      </c>
      <c r="Z9" s="156" t="s">
        <v>17</v>
      </c>
      <c r="AA9" s="151" t="s">
        <v>16</v>
      </c>
      <c r="AB9" s="154" t="s">
        <v>17</v>
      </c>
      <c r="AC9" s="154" t="s">
        <v>17</v>
      </c>
      <c r="AD9" s="156" t="s">
        <v>17</v>
      </c>
    </row>
    <row r="10" spans="2:30" ht="18" customHeight="1">
      <c r="B10" s="15">
        <v>8</v>
      </c>
      <c r="C10" s="16">
        <v>0</v>
      </c>
      <c r="D10" s="16">
        <v>0</v>
      </c>
      <c r="E10" s="16">
        <v>0</v>
      </c>
      <c r="F10" s="15">
        <v>8</v>
      </c>
      <c r="G10" s="70">
        <v>0</v>
      </c>
      <c r="H10" s="16">
        <v>0</v>
      </c>
      <c r="I10" s="55">
        <v>2</v>
      </c>
      <c r="N10" s="157">
        <v>5</v>
      </c>
      <c r="O10" s="158">
        <v>0</v>
      </c>
      <c r="P10" s="158"/>
      <c r="Q10" s="158"/>
      <c r="R10" s="157">
        <v>5</v>
      </c>
      <c r="S10" s="159">
        <v>0</v>
      </c>
      <c r="T10" s="158">
        <v>0</v>
      </c>
      <c r="U10" s="160">
        <v>0</v>
      </c>
      <c r="W10" s="157">
        <v>20</v>
      </c>
      <c r="X10" s="200">
        <f>+C13/O13</f>
        <v>1.4783074450990896</v>
      </c>
      <c r="Y10" s="200">
        <f>+D13/P13</f>
        <v>1.287002176090636</v>
      </c>
      <c r="Z10" s="201">
        <f>+E13/Q13</f>
        <v>1.3201904815896142</v>
      </c>
      <c r="AA10" s="157">
        <v>20</v>
      </c>
      <c r="AB10" s="200">
        <f>+G13/S13</f>
        <v>1.4514950398910877</v>
      </c>
      <c r="AC10" s="200">
        <f>+H13/T13</f>
        <v>1.2581927146303227</v>
      </c>
      <c r="AD10" s="201">
        <f>+I13/U13</f>
        <v>4.220637461795954</v>
      </c>
    </row>
    <row r="11" spans="2:30" ht="18" customHeight="1">
      <c r="B11" s="17">
        <v>12</v>
      </c>
      <c r="C11" s="18">
        <v>0</v>
      </c>
      <c r="D11" s="18">
        <v>0</v>
      </c>
      <c r="E11" s="18">
        <v>0</v>
      </c>
      <c r="F11" s="17">
        <v>12</v>
      </c>
      <c r="G11" s="71">
        <v>0</v>
      </c>
      <c r="H11" s="18">
        <v>0</v>
      </c>
      <c r="I11" s="56">
        <v>3</v>
      </c>
      <c r="J11" s="246">
        <f aca="true" t="shared" si="0" ref="J11:L13">IF($B11=$N11,O11,(O12-O11)/($N12-$N11)*($B11-$N11)+O11)</f>
        <v>0.1693984962406015</v>
      </c>
      <c r="K11" s="246">
        <f t="shared" si="0"/>
        <v>0.13975939849624058</v>
      </c>
      <c r="L11" s="246">
        <f t="shared" si="0"/>
        <v>0.13975939849624058</v>
      </c>
      <c r="M11" s="244"/>
      <c r="N11" s="161">
        <v>10</v>
      </c>
      <c r="O11" s="162">
        <v>0</v>
      </c>
      <c r="P11" s="162"/>
      <c r="Q11" s="162"/>
      <c r="R11" s="161">
        <v>10</v>
      </c>
      <c r="S11" s="163">
        <v>0</v>
      </c>
      <c r="T11" s="162">
        <v>0</v>
      </c>
      <c r="U11" s="164">
        <v>0</v>
      </c>
      <c r="W11" s="161">
        <v>40</v>
      </c>
      <c r="X11" s="202">
        <f>+C18/O17</f>
        <v>0.9190964016550339</v>
      </c>
      <c r="Y11" s="202">
        <f>+D18/P17</f>
        <v>1.037250561386186</v>
      </c>
      <c r="Z11" s="203">
        <f>+E18/Q17</f>
        <v>1.2295255096067619</v>
      </c>
      <c r="AA11" s="161">
        <v>40</v>
      </c>
      <c r="AB11" s="202">
        <f>+G18/S17</f>
        <v>1.2647633852704496</v>
      </c>
      <c r="AC11" s="202">
        <f>+H18/T17</f>
        <v>1.3449273400889852</v>
      </c>
      <c r="AD11" s="203">
        <f>+I18/U17</f>
        <v>1.7825747962880862</v>
      </c>
    </row>
    <row r="12" spans="2:30" ht="18" customHeight="1">
      <c r="B12" s="19">
        <v>16</v>
      </c>
      <c r="C12" s="20">
        <v>1</v>
      </c>
      <c r="D12" s="20">
        <v>1</v>
      </c>
      <c r="E12" s="20">
        <v>1</v>
      </c>
      <c r="F12" s="19">
        <v>16</v>
      </c>
      <c r="G12" s="72">
        <v>1</v>
      </c>
      <c r="H12" s="20">
        <v>1</v>
      </c>
      <c r="I12" s="57">
        <v>6</v>
      </c>
      <c r="J12" s="246">
        <f t="shared" si="0"/>
        <v>0.8799564127710581</v>
      </c>
      <c r="K12" s="246">
        <f t="shared" si="0"/>
        <v>0.7457184749312895</v>
      </c>
      <c r="L12" s="246">
        <f t="shared" si="0"/>
        <v>0.7339986681680046</v>
      </c>
      <c r="M12" s="244"/>
      <c r="N12" s="165">
        <v>15</v>
      </c>
      <c r="O12" s="166">
        <v>0.42349624060150376</v>
      </c>
      <c r="P12" s="166">
        <v>0.3493984962406015</v>
      </c>
      <c r="Q12" s="166">
        <v>0.3493984962406015</v>
      </c>
      <c r="R12" s="165">
        <v>15</v>
      </c>
      <c r="S12" s="167">
        <v>0.3747996661101836</v>
      </c>
      <c r="T12" s="166">
        <v>0.29220367278798</v>
      </c>
      <c r="U12" s="168">
        <v>0.29220367278798</v>
      </c>
      <c r="W12" s="165">
        <v>60</v>
      </c>
      <c r="X12" s="204">
        <f>+C23/O21</f>
        <v>0.77349621359871</v>
      </c>
      <c r="Y12" s="204">
        <f>+D23/P21</f>
        <v>0.8664116082331976</v>
      </c>
      <c r="Z12" s="205">
        <f>+E23/Q21</f>
        <v>1.0366431298102166</v>
      </c>
      <c r="AA12" s="165">
        <v>60</v>
      </c>
      <c r="AB12" s="204">
        <f>+G23/S21</f>
        <v>0.9878925570859339</v>
      </c>
      <c r="AC12" s="204">
        <f>+H23/T21</f>
        <v>1.0888334349826065</v>
      </c>
      <c r="AD12" s="205">
        <f>+I23/U21</f>
        <v>1.325324044276373</v>
      </c>
    </row>
    <row r="13" spans="2:30" ht="18" customHeight="1" thickBot="1">
      <c r="B13" s="17">
        <v>20</v>
      </c>
      <c r="C13" s="18">
        <v>4</v>
      </c>
      <c r="D13" s="18">
        <v>3</v>
      </c>
      <c r="E13" s="18">
        <v>3</v>
      </c>
      <c r="F13" s="17">
        <v>20</v>
      </c>
      <c r="G13" s="71">
        <v>4</v>
      </c>
      <c r="H13" s="18">
        <v>3</v>
      </c>
      <c r="I13" s="56">
        <v>10</v>
      </c>
      <c r="J13" s="246">
        <f t="shared" si="0"/>
        <v>2.705797101449275</v>
      </c>
      <c r="K13" s="246">
        <f t="shared" si="0"/>
        <v>2.3309983896940416</v>
      </c>
      <c r="L13" s="246">
        <f t="shared" si="0"/>
        <v>2.2723993558776168</v>
      </c>
      <c r="M13" s="244"/>
      <c r="N13" s="161">
        <v>20</v>
      </c>
      <c r="O13" s="162">
        <v>2.705797101449275</v>
      </c>
      <c r="P13" s="162">
        <v>2.3309983896940416</v>
      </c>
      <c r="Q13" s="162">
        <v>2.2723993558776168</v>
      </c>
      <c r="R13" s="161">
        <v>20</v>
      </c>
      <c r="S13" s="163">
        <v>2.7557793103448276</v>
      </c>
      <c r="T13" s="162">
        <v>2.3843724137931037</v>
      </c>
      <c r="U13" s="164">
        <v>2.369310344827586</v>
      </c>
      <c r="W13" s="180">
        <v>80</v>
      </c>
      <c r="X13" s="206">
        <f>+C28/O25</f>
        <v>0.7353996751306736</v>
      </c>
      <c r="Y13" s="206">
        <f>+D28/P25</f>
        <v>0.8183501395922066</v>
      </c>
      <c r="Z13" s="207">
        <f>+E28/Q25</f>
        <v>0.9663396179413569</v>
      </c>
      <c r="AA13" s="180">
        <v>80</v>
      </c>
      <c r="AB13" s="206">
        <f>+G28/S25</f>
        <v>0.8507395143487858</v>
      </c>
      <c r="AC13" s="206">
        <f>+H28/T25</f>
        <v>0.942820628703425</v>
      </c>
      <c r="AD13" s="207">
        <f>+I28/U25</f>
        <v>1.1797195864608414</v>
      </c>
    </row>
    <row r="14" spans="2:21" ht="18" customHeight="1">
      <c r="B14" s="19">
        <v>24</v>
      </c>
      <c r="C14" s="20">
        <v>10</v>
      </c>
      <c r="D14" s="20">
        <v>8</v>
      </c>
      <c r="E14" s="20">
        <v>8</v>
      </c>
      <c r="F14" s="19">
        <v>24</v>
      </c>
      <c r="G14" s="72">
        <v>10</v>
      </c>
      <c r="H14" s="20">
        <v>9</v>
      </c>
      <c r="I14" s="57">
        <v>16</v>
      </c>
      <c r="J14" s="246">
        <f aca="true" t="shared" si="1" ref="J14:L18">IF($B14=$N13,O13,(O14-O13)/($N14-$N13)*($B14-$N13)+O13)</f>
        <v>7.861729444859879</v>
      </c>
      <c r="K14" s="246">
        <f t="shared" si="1"/>
        <v>6.507595255334385</v>
      </c>
      <c r="L14" s="246">
        <f t="shared" si="1"/>
        <v>5.842214514910168</v>
      </c>
      <c r="M14" s="244"/>
      <c r="N14" s="165">
        <v>25</v>
      </c>
      <c r="O14" s="166">
        <v>9.15071253071253</v>
      </c>
      <c r="P14" s="166">
        <v>7.551744471744471</v>
      </c>
      <c r="Q14" s="166">
        <v>6.734668304668305</v>
      </c>
      <c r="R14" s="165">
        <v>25</v>
      </c>
      <c r="S14" s="167">
        <v>7.798577319587629</v>
      </c>
      <c r="T14" s="166">
        <v>6.739443298969072</v>
      </c>
      <c r="U14" s="168">
        <v>6.534268041237113</v>
      </c>
    </row>
    <row r="15" spans="2:21" ht="18" customHeight="1">
      <c r="B15" s="21">
        <v>28</v>
      </c>
      <c r="C15" s="22">
        <v>21</v>
      </c>
      <c r="D15" s="22">
        <v>18</v>
      </c>
      <c r="E15" s="22">
        <v>16</v>
      </c>
      <c r="F15" s="21">
        <v>28</v>
      </c>
      <c r="G15" s="73">
        <v>18</v>
      </c>
      <c r="H15" s="22">
        <v>17</v>
      </c>
      <c r="I15" s="58">
        <v>25</v>
      </c>
      <c r="J15" s="246">
        <f t="shared" si="1"/>
        <v>18.368105701940184</v>
      </c>
      <c r="K15" s="246">
        <f t="shared" si="1"/>
        <v>14.350290892146067</v>
      </c>
      <c r="L15" s="246">
        <f t="shared" si="1"/>
        <v>11.617108701177667</v>
      </c>
      <c r="M15" s="244"/>
      <c r="N15" s="169">
        <v>30</v>
      </c>
      <c r="O15" s="170">
        <v>24.51303448275862</v>
      </c>
      <c r="P15" s="170">
        <v>18.882655172413795</v>
      </c>
      <c r="Q15" s="170">
        <v>14.87206896551724</v>
      </c>
      <c r="R15" s="169">
        <v>30</v>
      </c>
      <c r="S15" s="171">
        <v>17.031618497109825</v>
      </c>
      <c r="T15" s="170">
        <v>14.266734104046243</v>
      </c>
      <c r="U15" s="172">
        <v>13.273468208092485</v>
      </c>
    </row>
    <row r="16" spans="2:21" ht="18" customHeight="1">
      <c r="B16" s="23">
        <v>32</v>
      </c>
      <c r="C16" s="24">
        <v>39</v>
      </c>
      <c r="D16" s="24">
        <v>32</v>
      </c>
      <c r="E16" s="24">
        <v>28</v>
      </c>
      <c r="F16" s="23">
        <v>32</v>
      </c>
      <c r="G16" s="74">
        <v>32</v>
      </c>
      <c r="H16" s="24">
        <v>28</v>
      </c>
      <c r="I16" s="59">
        <v>35</v>
      </c>
      <c r="J16" s="246">
        <f t="shared" si="1"/>
        <v>37.169098467432946</v>
      </c>
      <c r="K16" s="246">
        <f t="shared" si="1"/>
        <v>27.498852362707535</v>
      </c>
      <c r="L16" s="246">
        <f t="shared" si="1"/>
        <v>20.30105619412516</v>
      </c>
      <c r="M16" s="244"/>
      <c r="N16" s="173">
        <v>35</v>
      </c>
      <c r="O16" s="174">
        <v>56.153194444444445</v>
      </c>
      <c r="P16" s="174">
        <v>40.423148148148144</v>
      </c>
      <c r="Q16" s="174">
        <v>28.44453703703704</v>
      </c>
      <c r="R16" s="173">
        <v>35</v>
      </c>
      <c r="S16" s="175">
        <v>32.285444015444014</v>
      </c>
      <c r="T16" s="174">
        <v>26.49733590733591</v>
      </c>
      <c r="U16" s="176">
        <v>23.300733590733593</v>
      </c>
    </row>
    <row r="17" spans="2:21" ht="18" customHeight="1">
      <c r="B17" s="17">
        <v>36</v>
      </c>
      <c r="C17" s="18">
        <v>66</v>
      </c>
      <c r="D17" s="18">
        <v>53</v>
      </c>
      <c r="E17" s="18">
        <v>43</v>
      </c>
      <c r="F17" s="17">
        <v>36</v>
      </c>
      <c r="G17" s="71">
        <v>46</v>
      </c>
      <c r="H17" s="18">
        <v>40</v>
      </c>
      <c r="I17" s="56">
        <v>46</v>
      </c>
      <c r="J17" s="246">
        <f t="shared" si="1"/>
        <v>66.68305854956753</v>
      </c>
      <c r="K17" s="246">
        <f t="shared" si="1"/>
        <v>47.37827899756043</v>
      </c>
      <c r="L17" s="246">
        <f t="shared" si="1"/>
        <v>32.67815657573742</v>
      </c>
      <c r="M17" s="244"/>
      <c r="N17" s="161">
        <v>40</v>
      </c>
      <c r="O17" s="162">
        <v>108.80251497005989</v>
      </c>
      <c r="P17" s="162">
        <v>75.19880239520958</v>
      </c>
      <c r="Q17" s="162">
        <v>49.61263473053892</v>
      </c>
      <c r="R17" s="161">
        <v>40</v>
      </c>
      <c r="S17" s="163">
        <v>55.346320754716984</v>
      </c>
      <c r="T17" s="162">
        <v>44.61207547169811</v>
      </c>
      <c r="U17" s="164">
        <v>37.02509433962264</v>
      </c>
    </row>
    <row r="18" spans="2:21" ht="18" customHeight="1">
      <c r="B18" s="19">
        <v>40</v>
      </c>
      <c r="C18" s="20">
        <v>100</v>
      </c>
      <c r="D18" s="20">
        <v>78</v>
      </c>
      <c r="E18" s="20">
        <v>61</v>
      </c>
      <c r="F18" s="19">
        <v>40</v>
      </c>
      <c r="G18" s="75">
        <v>70</v>
      </c>
      <c r="H18" s="20">
        <v>60</v>
      </c>
      <c r="I18" s="57">
        <v>66</v>
      </c>
      <c r="J18" s="246">
        <f t="shared" si="1"/>
        <v>108.80251497005989</v>
      </c>
      <c r="K18" s="246">
        <f t="shared" si="1"/>
        <v>75.19880239520958</v>
      </c>
      <c r="L18" s="246">
        <f t="shared" si="1"/>
        <v>49.61263473053892</v>
      </c>
      <c r="M18" s="244"/>
      <c r="N18" s="165">
        <v>45</v>
      </c>
      <c r="O18" s="166">
        <v>184.33263157894737</v>
      </c>
      <c r="P18" s="166">
        <v>124.68015037593985</v>
      </c>
      <c r="Q18" s="166">
        <v>78.38691729323308</v>
      </c>
      <c r="R18" s="165">
        <v>45</v>
      </c>
      <c r="S18" s="177">
        <v>94.4864375</v>
      </c>
      <c r="T18" s="166">
        <v>74.4195</v>
      </c>
      <c r="U18" s="168">
        <v>59.2730625</v>
      </c>
    </row>
    <row r="19" spans="2:21" ht="18" customHeight="1">
      <c r="B19" s="21">
        <v>44</v>
      </c>
      <c r="C19" s="22">
        <v>143</v>
      </c>
      <c r="D19" s="22">
        <v>109</v>
      </c>
      <c r="E19" s="22">
        <v>83</v>
      </c>
      <c r="F19" s="21">
        <v>44</v>
      </c>
      <c r="G19" s="76">
        <v>98</v>
      </c>
      <c r="H19" s="22">
        <v>84</v>
      </c>
      <c r="I19" s="58">
        <v>87</v>
      </c>
      <c r="J19" s="246">
        <f aca="true" t="shared" si="2" ref="J19:L23">IF($B19=N17,O17,(O18-O17)/($N18-$N17)*($B19-$N17)+O17)</f>
        <v>169.22660825716986</v>
      </c>
      <c r="K19" s="246">
        <f t="shared" si="2"/>
        <v>114.78388077979379</v>
      </c>
      <c r="L19" s="246">
        <f t="shared" si="2"/>
        <v>72.63206078069425</v>
      </c>
      <c r="M19" s="244"/>
      <c r="N19" s="169">
        <v>50</v>
      </c>
      <c r="O19" s="170">
        <v>275.88165137614675</v>
      </c>
      <c r="P19" s="170">
        <v>184.7408256880734</v>
      </c>
      <c r="Q19" s="170">
        <v>114.05798165137614</v>
      </c>
      <c r="R19" s="169">
        <v>50</v>
      </c>
      <c r="S19" s="178">
        <v>140.37676923076924</v>
      </c>
      <c r="T19" s="170">
        <v>109.34538461538462</v>
      </c>
      <c r="U19" s="172">
        <v>85.09784615384615</v>
      </c>
    </row>
    <row r="20" spans="2:21" ht="18" customHeight="1">
      <c r="B20" s="23">
        <v>48</v>
      </c>
      <c r="C20" s="24">
        <v>196</v>
      </c>
      <c r="D20" s="24">
        <v>148</v>
      </c>
      <c r="E20" s="24">
        <v>110</v>
      </c>
      <c r="F20" s="19">
        <v>48</v>
      </c>
      <c r="G20" s="77">
        <v>132</v>
      </c>
      <c r="H20" s="24">
        <v>112</v>
      </c>
      <c r="I20" s="59">
        <v>111</v>
      </c>
      <c r="J20" s="246">
        <f t="shared" si="2"/>
        <v>239.262043457267</v>
      </c>
      <c r="K20" s="246">
        <f t="shared" si="2"/>
        <v>160.71655556321997</v>
      </c>
      <c r="L20" s="246">
        <f t="shared" si="2"/>
        <v>99.78955590811891</v>
      </c>
      <c r="M20" s="244"/>
      <c r="N20" s="173">
        <v>55</v>
      </c>
      <c r="O20" s="174">
        <v>394.46933333333334</v>
      </c>
      <c r="P20" s="174">
        <v>261.6661111111111</v>
      </c>
      <c r="Q20" s="174">
        <v>157.87977777777778</v>
      </c>
      <c r="R20" s="165">
        <v>55</v>
      </c>
      <c r="S20" s="179">
        <v>197.41532710280373</v>
      </c>
      <c r="T20" s="174">
        <v>152.63271028037383</v>
      </c>
      <c r="U20" s="176">
        <v>114.82401869158879</v>
      </c>
    </row>
    <row r="21" spans="2:21" ht="18" customHeight="1" thickBot="1">
      <c r="B21" s="25">
        <v>52</v>
      </c>
      <c r="C21" s="26">
        <v>261</v>
      </c>
      <c r="D21" s="26">
        <v>195</v>
      </c>
      <c r="E21" s="26">
        <v>142</v>
      </c>
      <c r="F21" s="17">
        <v>52</v>
      </c>
      <c r="G21" s="78">
        <v>172</v>
      </c>
      <c r="H21" s="26">
        <v>146</v>
      </c>
      <c r="I21" s="60">
        <v>138</v>
      </c>
      <c r="J21" s="246">
        <f t="shared" si="2"/>
        <v>323.31672415902136</v>
      </c>
      <c r="K21" s="246">
        <f t="shared" si="2"/>
        <v>215.51093985728846</v>
      </c>
      <c r="L21" s="246">
        <f t="shared" si="2"/>
        <v>131.5867001019368</v>
      </c>
      <c r="M21" s="244"/>
      <c r="N21" s="180">
        <v>60</v>
      </c>
      <c r="O21" s="181">
        <v>540.4034210526316</v>
      </c>
      <c r="P21" s="181">
        <v>356.6434210526316</v>
      </c>
      <c r="Q21" s="181">
        <v>211.2588157894737</v>
      </c>
      <c r="R21" s="161">
        <v>60</v>
      </c>
      <c r="S21" s="182">
        <v>272.2968181818182</v>
      </c>
      <c r="T21" s="181">
        <v>207.56159090909088</v>
      </c>
      <c r="U21" s="183">
        <v>151.66102272727272</v>
      </c>
    </row>
    <row r="22" spans="2:21" ht="18" customHeight="1">
      <c r="B22" s="23">
        <v>56</v>
      </c>
      <c r="C22" s="24">
        <v>330</v>
      </c>
      <c r="D22" s="24">
        <v>246</v>
      </c>
      <c r="E22" s="24">
        <v>177</v>
      </c>
      <c r="F22" s="15">
        <v>56</v>
      </c>
      <c r="G22" s="74">
        <v>217</v>
      </c>
      <c r="H22" s="24">
        <v>183</v>
      </c>
      <c r="I22" s="59">
        <v>168</v>
      </c>
      <c r="J22" s="246">
        <f t="shared" si="2"/>
        <v>423.656150877193</v>
      </c>
      <c r="K22" s="246">
        <f t="shared" si="2"/>
        <v>280.6615730994152</v>
      </c>
      <c r="L22" s="246">
        <f t="shared" si="2"/>
        <v>168.55558538011695</v>
      </c>
      <c r="M22" s="244"/>
      <c r="N22" s="173">
        <v>65</v>
      </c>
      <c r="O22" s="174">
        <v>680.203125</v>
      </c>
      <c r="P22" s="174">
        <v>448.1875</v>
      </c>
      <c r="Q22" s="174">
        <v>267.21875</v>
      </c>
      <c r="R22" s="157">
        <v>65</v>
      </c>
      <c r="S22" s="175">
        <v>343.2328767123288</v>
      </c>
      <c r="T22" s="174">
        <v>260.54794520547944</v>
      </c>
      <c r="U22" s="176">
        <v>188.45205479452054</v>
      </c>
    </row>
    <row r="23" spans="2:21" ht="18" customHeight="1">
      <c r="B23" s="17">
        <v>60</v>
      </c>
      <c r="C23" s="18">
        <v>418</v>
      </c>
      <c r="D23" s="18">
        <v>309</v>
      </c>
      <c r="E23" s="18">
        <v>219</v>
      </c>
      <c r="F23" s="21">
        <v>60</v>
      </c>
      <c r="G23" s="71">
        <v>269</v>
      </c>
      <c r="H23" s="18">
        <v>226</v>
      </c>
      <c r="I23" s="56">
        <v>201</v>
      </c>
      <c r="J23" s="246">
        <f t="shared" si="2"/>
        <v>540.4034210526316</v>
      </c>
      <c r="K23" s="246">
        <f t="shared" si="2"/>
        <v>356.6434210526316</v>
      </c>
      <c r="L23" s="246">
        <f t="shared" si="2"/>
        <v>211.2588157894737</v>
      </c>
      <c r="M23" s="244"/>
      <c r="N23" s="161">
        <v>70</v>
      </c>
      <c r="O23" s="162">
        <v>813.9636363636364</v>
      </c>
      <c r="P23" s="162">
        <v>542.1636363636363</v>
      </c>
      <c r="Q23" s="162">
        <v>326.1636363636364</v>
      </c>
      <c r="R23" s="169">
        <v>70</v>
      </c>
      <c r="S23" s="163">
        <v>410.53125</v>
      </c>
      <c r="T23" s="162">
        <v>311.15625</v>
      </c>
      <c r="U23" s="164">
        <v>220.65625</v>
      </c>
    </row>
    <row r="24" spans="2:21" ht="18" customHeight="1">
      <c r="B24" s="19">
        <v>64</v>
      </c>
      <c r="C24" s="20">
        <v>494</v>
      </c>
      <c r="D24" s="20">
        <v>364</v>
      </c>
      <c r="E24" s="20">
        <v>258</v>
      </c>
      <c r="F24" s="19">
        <v>64</v>
      </c>
      <c r="G24" s="75">
        <v>306</v>
      </c>
      <c r="H24" s="20">
        <v>257</v>
      </c>
      <c r="I24" s="57">
        <v>228</v>
      </c>
      <c r="J24" s="246">
        <f aca="true" t="shared" si="3" ref="J24:L28">IF($B24=$N21,O21,(O22-O21)/($N22-$N21)*($B24-$N21)+O21)</f>
        <v>652.2431842105264</v>
      </c>
      <c r="K24" s="246">
        <f t="shared" si="3"/>
        <v>429.87868421052633</v>
      </c>
      <c r="L24" s="246">
        <f t="shared" si="3"/>
        <v>256.0267631578947</v>
      </c>
      <c r="M24" s="244"/>
      <c r="N24" s="165">
        <v>75</v>
      </c>
      <c r="O24" s="166">
        <v>934.3970315398888</v>
      </c>
      <c r="P24" s="166">
        <v>622.3817254174397</v>
      </c>
      <c r="Q24" s="166">
        <v>374.4225417439704</v>
      </c>
      <c r="R24" s="165">
        <v>75</v>
      </c>
      <c r="S24" s="177">
        <v>471.27311862244903</v>
      </c>
      <c r="T24" s="166">
        <v>357.19467474489795</v>
      </c>
      <c r="U24" s="168">
        <v>253.30436862244898</v>
      </c>
    </row>
    <row r="25" spans="2:21" ht="18" customHeight="1">
      <c r="B25" s="17">
        <v>68</v>
      </c>
      <c r="C25" s="22">
        <v>571</v>
      </c>
      <c r="D25" s="22">
        <v>422</v>
      </c>
      <c r="E25" s="22">
        <v>301</v>
      </c>
      <c r="F25" s="21">
        <v>68</v>
      </c>
      <c r="G25" s="76">
        <v>344</v>
      </c>
      <c r="H25" s="22">
        <v>289</v>
      </c>
      <c r="I25" s="58">
        <v>256</v>
      </c>
      <c r="J25" s="246">
        <f t="shared" si="3"/>
        <v>760.4594318181819</v>
      </c>
      <c r="K25" s="246">
        <f t="shared" si="3"/>
        <v>504.5731818181818</v>
      </c>
      <c r="L25" s="246">
        <f t="shared" si="3"/>
        <v>302.5856818181818</v>
      </c>
      <c r="M25" s="244"/>
      <c r="N25" s="161">
        <v>80</v>
      </c>
      <c r="O25" s="170">
        <v>1063.1361781076068</v>
      </c>
      <c r="P25" s="170">
        <v>708.1320964749534</v>
      </c>
      <c r="Q25" s="170">
        <v>426.0096474953618</v>
      </c>
      <c r="R25" s="169">
        <v>80</v>
      </c>
      <c r="S25" s="178">
        <v>536.2040816326531</v>
      </c>
      <c r="T25" s="170">
        <v>406.408163265306</v>
      </c>
      <c r="U25" s="172">
        <v>288.204081632653</v>
      </c>
    </row>
    <row r="26" spans="2:21" ht="18" customHeight="1">
      <c r="B26" s="19">
        <v>72</v>
      </c>
      <c r="C26" s="24">
        <v>637</v>
      </c>
      <c r="D26" s="24">
        <v>471</v>
      </c>
      <c r="E26" s="24">
        <v>334</v>
      </c>
      <c r="F26" s="19">
        <v>72</v>
      </c>
      <c r="G26" s="77">
        <v>381</v>
      </c>
      <c r="H26" s="24">
        <v>320</v>
      </c>
      <c r="I26" s="59">
        <v>284</v>
      </c>
      <c r="J26" s="246">
        <f t="shared" si="3"/>
        <v>862.1369944341374</v>
      </c>
      <c r="K26" s="246">
        <f t="shared" si="3"/>
        <v>574.2508719851577</v>
      </c>
      <c r="L26" s="246">
        <f t="shared" si="3"/>
        <v>345.46719851577</v>
      </c>
      <c r="M26" s="244"/>
      <c r="N26" s="165">
        <v>85</v>
      </c>
      <c r="O26" s="174">
        <v>1200.1810760667904</v>
      </c>
      <c r="P26" s="174">
        <v>799.414749536178</v>
      </c>
      <c r="Q26" s="174">
        <v>480.9249536178108</v>
      </c>
      <c r="R26" s="165">
        <v>85</v>
      </c>
      <c r="S26" s="179">
        <v>605.3241390306124</v>
      </c>
      <c r="T26" s="174">
        <v>458.7967155612244</v>
      </c>
      <c r="U26" s="176">
        <v>325.3553890306122</v>
      </c>
    </row>
    <row r="27" spans="2:21" ht="18" customHeight="1">
      <c r="B27" s="17">
        <v>76</v>
      </c>
      <c r="C27" s="122">
        <f>17.875*B27-648.17</f>
        <v>710.33</v>
      </c>
      <c r="D27" s="122">
        <f>13.375*B27-490.5</f>
        <v>526</v>
      </c>
      <c r="E27" s="122">
        <f>9.5*B27-348.33</f>
        <v>373.67</v>
      </c>
      <c r="F27" s="137">
        <v>76</v>
      </c>
      <c r="G27" s="123">
        <f>9.375*F27-293.83</f>
        <v>418.67</v>
      </c>
      <c r="H27" s="122">
        <f>7.875*F27-246.83</f>
        <v>351.66999999999996</v>
      </c>
      <c r="I27" s="124">
        <f>7*F27-220</f>
        <v>312</v>
      </c>
      <c r="J27" s="246">
        <f t="shared" si="3"/>
        <v>960.1448608534324</v>
      </c>
      <c r="K27" s="246">
        <f t="shared" si="3"/>
        <v>639.5317996289425</v>
      </c>
      <c r="L27" s="246">
        <f t="shared" si="3"/>
        <v>384.73996289424866</v>
      </c>
      <c r="M27" s="244"/>
      <c r="N27" s="161">
        <v>90</v>
      </c>
      <c r="O27" s="170">
        <v>1345.5317254174397</v>
      </c>
      <c r="P27" s="170">
        <v>896.2296846011128</v>
      </c>
      <c r="Q27" s="170">
        <v>539.1684601113172</v>
      </c>
      <c r="R27" s="169">
        <v>90</v>
      </c>
      <c r="S27" s="178">
        <v>678.6332908163266</v>
      </c>
      <c r="T27" s="170">
        <v>514.3603316326529</v>
      </c>
      <c r="U27" s="172">
        <v>364.75829081632645</v>
      </c>
    </row>
    <row r="28" spans="2:21" ht="18.75" customHeight="1">
      <c r="B28" s="19">
        <v>80</v>
      </c>
      <c r="C28" s="125">
        <f>17.875*B28-648.17</f>
        <v>781.83</v>
      </c>
      <c r="D28" s="125">
        <f>13.375*B28-490.5</f>
        <v>579.5</v>
      </c>
      <c r="E28" s="125">
        <f>9.5*B28-348.33</f>
        <v>411.67</v>
      </c>
      <c r="F28" s="138">
        <v>80</v>
      </c>
      <c r="G28" s="126">
        <f>9.375*F28-293.83</f>
        <v>456.17</v>
      </c>
      <c r="H28" s="125">
        <f>7.875*F28-246.83</f>
        <v>383.16999999999996</v>
      </c>
      <c r="I28" s="127">
        <f>7*F28-220</f>
        <v>340</v>
      </c>
      <c r="J28" s="246">
        <f t="shared" si="3"/>
        <v>1063.1361781076068</v>
      </c>
      <c r="K28" s="246">
        <f t="shared" si="3"/>
        <v>708.1320964749534</v>
      </c>
      <c r="L28" s="246">
        <f t="shared" si="3"/>
        <v>426.0096474953618</v>
      </c>
      <c r="M28" s="244"/>
      <c r="N28" s="165">
        <v>95</v>
      </c>
      <c r="O28" s="174">
        <v>1499.1881261595545</v>
      </c>
      <c r="P28" s="174">
        <v>998.5769016697583</v>
      </c>
      <c r="Q28" s="174">
        <v>600.7401669758812</v>
      </c>
      <c r="R28" s="173">
        <v>95</v>
      </c>
      <c r="S28" s="179">
        <v>756.1315369897959</v>
      </c>
      <c r="T28" s="174">
        <v>573.0990114795915</v>
      </c>
      <c r="U28" s="176">
        <v>406.4127869897958</v>
      </c>
    </row>
    <row r="29" spans="2:21" ht="18" customHeight="1">
      <c r="B29" s="17">
        <v>84</v>
      </c>
      <c r="C29" s="122">
        <f>17.875*B29-648.17</f>
        <v>853.33</v>
      </c>
      <c r="D29" s="122">
        <f>13.375*B29-490.5</f>
        <v>633</v>
      </c>
      <c r="E29" s="122">
        <f>9.5*B29-348.33</f>
        <v>449.67</v>
      </c>
      <c r="F29" s="137">
        <v>84</v>
      </c>
      <c r="G29" s="123">
        <f>9.375*F29-293.83</f>
        <v>493.67</v>
      </c>
      <c r="H29" s="122">
        <f>7.875*F29-246.83</f>
        <v>414.66999999999996</v>
      </c>
      <c r="I29" s="124">
        <f>7*F29-220</f>
        <v>368</v>
      </c>
      <c r="J29" s="246">
        <f aca="true" t="shared" si="4" ref="J29:L31">IF($B29=$N25,O25,(O26-O25)/($N26-$N25)*($B29-$N25)+O25)</f>
        <v>1172.7720964749537</v>
      </c>
      <c r="K29" s="246">
        <f t="shared" si="4"/>
        <v>781.1582189239331</v>
      </c>
      <c r="L29" s="246">
        <f t="shared" si="4"/>
        <v>469.941892393321</v>
      </c>
      <c r="M29" s="244"/>
      <c r="N29" s="161">
        <v>100</v>
      </c>
      <c r="O29" s="170">
        <v>1661.150278293135</v>
      </c>
      <c r="P29" s="170">
        <v>1106.4564007421143</v>
      </c>
      <c r="Q29" s="170">
        <v>665.6400742115026</v>
      </c>
      <c r="R29" s="169">
        <v>100</v>
      </c>
      <c r="S29" s="178">
        <v>837.8188775510203</v>
      </c>
      <c r="T29" s="170">
        <v>635.0127551020405</v>
      </c>
      <c r="U29" s="172">
        <v>450.31887755102025</v>
      </c>
    </row>
    <row r="30" spans="2:21" ht="18" customHeight="1">
      <c r="B30" s="19">
        <v>88</v>
      </c>
      <c r="C30" s="125">
        <f>17.875*B30-648.17</f>
        <v>924.83</v>
      </c>
      <c r="D30" s="125">
        <f>13.375*B30-490.5</f>
        <v>686.5</v>
      </c>
      <c r="E30" s="125">
        <f>9.5*B30-348.33</f>
        <v>487.67</v>
      </c>
      <c r="F30" s="23">
        <v>88</v>
      </c>
      <c r="G30" s="126">
        <f>9.375*F30-293.83</f>
        <v>531.1700000000001</v>
      </c>
      <c r="H30" s="125">
        <f>7.875*F30-246.83</f>
        <v>446.16999999999996</v>
      </c>
      <c r="I30" s="127">
        <f>7*F30-220</f>
        <v>396</v>
      </c>
      <c r="J30" s="246">
        <f t="shared" si="4"/>
        <v>1287.39146567718</v>
      </c>
      <c r="K30" s="246">
        <f t="shared" si="4"/>
        <v>857.5037105751388</v>
      </c>
      <c r="L30" s="246">
        <f t="shared" si="4"/>
        <v>515.8710575139147</v>
      </c>
      <c r="M30" s="244"/>
      <c r="N30" s="165">
        <v>105</v>
      </c>
      <c r="O30" s="174"/>
      <c r="P30" s="174"/>
      <c r="Q30" s="174"/>
      <c r="R30" s="173">
        <v>105</v>
      </c>
      <c r="S30" s="179"/>
      <c r="T30" s="174"/>
      <c r="U30" s="176"/>
    </row>
    <row r="31" spans="2:21" ht="18" customHeight="1" thickBot="1">
      <c r="B31" s="25">
        <v>92</v>
      </c>
      <c r="C31" s="139">
        <f>17.875*B31-648.17</f>
        <v>996.33</v>
      </c>
      <c r="D31" s="139">
        <f>13.375*B31-490.5</f>
        <v>740</v>
      </c>
      <c r="E31" s="139">
        <f>9.5*B31-348.33</f>
        <v>525.6700000000001</v>
      </c>
      <c r="F31" s="25">
        <v>92</v>
      </c>
      <c r="G31" s="140">
        <f>9.375*F31-293.83</f>
        <v>568.6700000000001</v>
      </c>
      <c r="H31" s="139">
        <f>7.875*F31-246.83</f>
        <v>477.66999999999996</v>
      </c>
      <c r="I31" s="141">
        <f>7*F31-220</f>
        <v>424</v>
      </c>
      <c r="J31" s="246">
        <f t="shared" si="4"/>
        <v>1406.9942857142855</v>
      </c>
      <c r="K31" s="246">
        <f t="shared" si="4"/>
        <v>937.168571428571</v>
      </c>
      <c r="L31" s="246">
        <f t="shared" si="4"/>
        <v>563.7971428571428</v>
      </c>
      <c r="M31" s="244"/>
      <c r="N31" s="180">
        <v>110</v>
      </c>
      <c r="O31" s="181"/>
      <c r="P31" s="181"/>
      <c r="Q31" s="181"/>
      <c r="R31" s="180">
        <v>110</v>
      </c>
      <c r="S31" s="182"/>
      <c r="T31" s="181"/>
      <c r="U31" s="183"/>
    </row>
    <row r="32" spans="14:21" ht="18" customHeight="1" thickBot="1">
      <c r="N32" s="184"/>
      <c r="O32" s="184"/>
      <c r="P32" s="184"/>
      <c r="Q32" s="184"/>
      <c r="R32" s="184"/>
      <c r="S32" s="184"/>
      <c r="T32" s="184"/>
      <c r="U32" s="184"/>
    </row>
    <row r="33" spans="2:30" ht="18" customHeight="1">
      <c r="B33" s="5"/>
      <c r="C33" s="6"/>
      <c r="D33" s="7"/>
      <c r="E33" s="7"/>
      <c r="F33" s="5"/>
      <c r="G33" s="7"/>
      <c r="H33" s="7"/>
      <c r="I33" s="52"/>
      <c r="N33" s="142"/>
      <c r="O33" s="143"/>
      <c r="P33" s="145"/>
      <c r="Q33" s="145"/>
      <c r="R33" s="142"/>
      <c r="S33" s="145"/>
      <c r="T33" s="145"/>
      <c r="U33" s="146"/>
      <c r="W33" s="142"/>
      <c r="X33" s="143"/>
      <c r="Y33" s="144"/>
      <c r="Z33" s="146"/>
      <c r="AA33" s="142"/>
      <c r="AB33" s="143"/>
      <c r="AC33" s="144"/>
      <c r="AD33" s="146"/>
    </row>
    <row r="34" spans="2:30" ht="18" customHeight="1">
      <c r="B34" s="10"/>
      <c r="C34" s="65"/>
      <c r="D34" s="66" t="s">
        <v>18</v>
      </c>
      <c r="E34" s="67"/>
      <c r="F34" s="10"/>
      <c r="G34" s="65"/>
      <c r="H34" s="66" t="s">
        <v>19</v>
      </c>
      <c r="I34" s="67"/>
      <c r="J34" s="269" t="s">
        <v>68</v>
      </c>
      <c r="K34" s="270"/>
      <c r="L34" s="270"/>
      <c r="N34" s="147"/>
      <c r="O34" s="148"/>
      <c r="P34" s="149" t="s">
        <v>18</v>
      </c>
      <c r="Q34" s="150"/>
      <c r="R34" s="147"/>
      <c r="S34" s="148"/>
      <c r="T34" s="149" t="s">
        <v>19</v>
      </c>
      <c r="U34" s="150"/>
      <c r="W34" s="147"/>
      <c r="X34" s="148"/>
      <c r="Y34" s="149" t="s">
        <v>25</v>
      </c>
      <c r="Z34" s="150"/>
      <c r="AA34" s="147"/>
      <c r="AB34" s="148"/>
      <c r="AC34" s="149" t="s">
        <v>26</v>
      </c>
      <c r="AD34" s="150"/>
    </row>
    <row r="35" spans="2:30" ht="18" customHeight="1">
      <c r="B35" s="12" t="s">
        <v>4</v>
      </c>
      <c r="C35" s="31" t="s">
        <v>13</v>
      </c>
      <c r="D35" s="31" t="s">
        <v>14</v>
      </c>
      <c r="E35" s="31" t="s">
        <v>15</v>
      </c>
      <c r="F35" s="12" t="s">
        <v>4</v>
      </c>
      <c r="G35" s="31" t="s">
        <v>13</v>
      </c>
      <c r="H35" s="31" t="s">
        <v>14</v>
      </c>
      <c r="I35" s="53" t="s">
        <v>15</v>
      </c>
      <c r="J35" s="245" t="s">
        <v>13</v>
      </c>
      <c r="K35" s="245" t="s">
        <v>14</v>
      </c>
      <c r="L35" s="245" t="s">
        <v>15</v>
      </c>
      <c r="N35" s="151" t="s">
        <v>4</v>
      </c>
      <c r="O35" s="152" t="s">
        <v>13</v>
      </c>
      <c r="P35" s="152" t="s">
        <v>14</v>
      </c>
      <c r="Q35" s="152" t="s">
        <v>15</v>
      </c>
      <c r="R35" s="151" t="s">
        <v>4</v>
      </c>
      <c r="S35" s="152" t="s">
        <v>13</v>
      </c>
      <c r="T35" s="152" t="s">
        <v>14</v>
      </c>
      <c r="U35" s="153" t="s">
        <v>15</v>
      </c>
      <c r="W35" s="151" t="s">
        <v>4</v>
      </c>
      <c r="X35" s="152" t="s">
        <v>13</v>
      </c>
      <c r="Y35" s="152" t="s">
        <v>14</v>
      </c>
      <c r="Z35" s="153" t="s">
        <v>15</v>
      </c>
      <c r="AA35" s="151" t="s">
        <v>4</v>
      </c>
      <c r="AB35" s="152" t="s">
        <v>13</v>
      </c>
      <c r="AC35" s="152" t="s">
        <v>14</v>
      </c>
      <c r="AD35" s="153" t="s">
        <v>15</v>
      </c>
    </row>
    <row r="36" spans="2:30" ht="18" customHeight="1" thickBot="1">
      <c r="B36" s="12" t="s">
        <v>16</v>
      </c>
      <c r="C36" s="13" t="s">
        <v>17</v>
      </c>
      <c r="D36" s="13" t="s">
        <v>17</v>
      </c>
      <c r="E36" s="13" t="s">
        <v>17</v>
      </c>
      <c r="F36" s="63" t="s">
        <v>16</v>
      </c>
      <c r="G36" s="64" t="s">
        <v>17</v>
      </c>
      <c r="H36" s="13" t="s">
        <v>17</v>
      </c>
      <c r="I36" s="54" t="s">
        <v>17</v>
      </c>
      <c r="N36" s="151" t="s">
        <v>16</v>
      </c>
      <c r="O36" s="154" t="s">
        <v>17</v>
      </c>
      <c r="P36" s="154" t="s">
        <v>17</v>
      </c>
      <c r="Q36" s="154" t="s">
        <v>17</v>
      </c>
      <c r="R36" s="185" t="s">
        <v>16</v>
      </c>
      <c r="S36" s="186" t="s">
        <v>17</v>
      </c>
      <c r="T36" s="154" t="s">
        <v>17</v>
      </c>
      <c r="U36" s="156" t="s">
        <v>17</v>
      </c>
      <c r="W36" s="151" t="s">
        <v>16</v>
      </c>
      <c r="X36" s="154" t="s">
        <v>17</v>
      </c>
      <c r="Y36" s="154" t="s">
        <v>17</v>
      </c>
      <c r="Z36" s="156" t="s">
        <v>17</v>
      </c>
      <c r="AA36" s="151" t="s">
        <v>16</v>
      </c>
      <c r="AB36" s="154" t="s">
        <v>17</v>
      </c>
      <c r="AC36" s="154" t="s">
        <v>17</v>
      </c>
      <c r="AD36" s="156" t="s">
        <v>17</v>
      </c>
    </row>
    <row r="37" spans="2:30" ht="18" customHeight="1">
      <c r="B37" s="15">
        <v>8</v>
      </c>
      <c r="C37" s="16">
        <v>0</v>
      </c>
      <c r="D37" s="16">
        <v>0</v>
      </c>
      <c r="E37" s="16">
        <v>0</v>
      </c>
      <c r="F37" s="15">
        <v>8</v>
      </c>
      <c r="G37" s="70">
        <v>0</v>
      </c>
      <c r="H37" s="16">
        <v>0</v>
      </c>
      <c r="I37" s="55">
        <v>1</v>
      </c>
      <c r="N37" s="157">
        <v>5</v>
      </c>
      <c r="O37" s="158">
        <v>0</v>
      </c>
      <c r="P37" s="158">
        <v>0</v>
      </c>
      <c r="Q37" s="158">
        <v>0</v>
      </c>
      <c r="R37" s="157">
        <v>5</v>
      </c>
      <c r="S37" s="159">
        <v>0</v>
      </c>
      <c r="T37" s="158">
        <v>0</v>
      </c>
      <c r="U37" s="160">
        <v>0</v>
      </c>
      <c r="W37" s="157">
        <v>20</v>
      </c>
      <c r="X37" s="200">
        <f>+C40/O40</f>
        <v>1.178598280872163</v>
      </c>
      <c r="Y37" s="200">
        <f>+D40/P40</f>
        <v>1.3660987673706524</v>
      </c>
      <c r="Z37" s="201">
        <f>+E40/Q40</f>
        <v>1.3765169374871447</v>
      </c>
      <c r="AA37" s="157">
        <v>20</v>
      </c>
      <c r="AB37" s="200">
        <f>+G40/S40</f>
        <v>1.1505029956087343</v>
      </c>
      <c r="AC37" s="200">
        <f>+H40/T40</f>
        <v>1.0706048917638467</v>
      </c>
      <c r="AD37" s="201">
        <f>+I40/U40</f>
        <v>1.0706852385526737</v>
      </c>
    </row>
    <row r="38" spans="2:30" ht="18" customHeight="1">
      <c r="B38" s="17">
        <v>12</v>
      </c>
      <c r="C38" s="18">
        <v>0</v>
      </c>
      <c r="D38" s="18">
        <v>0</v>
      </c>
      <c r="E38" s="18">
        <v>0</v>
      </c>
      <c r="F38" s="17">
        <v>12</v>
      </c>
      <c r="G38" s="71">
        <v>0</v>
      </c>
      <c r="H38" s="18">
        <v>0</v>
      </c>
      <c r="I38" s="56">
        <v>1</v>
      </c>
      <c r="J38" s="246">
        <f aca="true" t="shared" si="5" ref="J38:L40">IF($B38=$N38,O38,(O39-O38)/($N39-$N38)*($B38-$N38)+O38)</f>
        <v>0.06885327783558792</v>
      </c>
      <c r="K38" s="246">
        <f t="shared" si="5"/>
        <v>0.053681581685744016</v>
      </c>
      <c r="L38" s="246">
        <f t="shared" si="5"/>
        <v>0.053681581685744016</v>
      </c>
      <c r="M38" s="244"/>
      <c r="N38" s="161">
        <v>10</v>
      </c>
      <c r="O38" s="162">
        <v>0</v>
      </c>
      <c r="P38" s="162">
        <v>0</v>
      </c>
      <c r="Q38" s="162">
        <v>0</v>
      </c>
      <c r="R38" s="161">
        <v>10</v>
      </c>
      <c r="S38" s="163">
        <v>0.10545380212591987</v>
      </c>
      <c r="T38" s="162">
        <v>0</v>
      </c>
      <c r="U38" s="164">
        <v>0</v>
      </c>
      <c r="W38" s="161">
        <v>40</v>
      </c>
      <c r="X38" s="202">
        <f>+C45/O44</f>
        <v>1.081056102380933</v>
      </c>
      <c r="Y38" s="202">
        <f>+D45/P44</f>
        <v>1.1882104876328652</v>
      </c>
      <c r="Z38" s="203">
        <f>+E45/Q44</f>
        <v>1.2457458421627174</v>
      </c>
      <c r="AA38" s="161">
        <v>40</v>
      </c>
      <c r="AB38" s="202">
        <f>+G45/S44</f>
        <v>1.0052140370376426</v>
      </c>
      <c r="AC38" s="202">
        <f>+H45/T44</f>
        <v>1.1220659213728807</v>
      </c>
      <c r="AD38" s="203">
        <f>+I45/U44</f>
        <v>1.1116091438816675</v>
      </c>
    </row>
    <row r="39" spans="2:30" ht="18" customHeight="1">
      <c r="B39" s="19">
        <v>16</v>
      </c>
      <c r="C39" s="20">
        <v>1</v>
      </c>
      <c r="D39" s="20">
        <v>1</v>
      </c>
      <c r="E39" s="20">
        <v>1</v>
      </c>
      <c r="F39" s="19">
        <v>16</v>
      </c>
      <c r="G39" s="72">
        <v>2</v>
      </c>
      <c r="H39" s="20">
        <v>2</v>
      </c>
      <c r="I39" s="57">
        <v>2</v>
      </c>
      <c r="J39" s="246">
        <f t="shared" si="5"/>
        <v>0.6467858660160033</v>
      </c>
      <c r="K39" s="246">
        <f t="shared" si="5"/>
        <v>0.5465700599232122</v>
      </c>
      <c r="L39" s="246">
        <f t="shared" si="5"/>
        <v>0.5432459219921776</v>
      </c>
      <c r="M39" s="244"/>
      <c r="N39" s="165">
        <v>15</v>
      </c>
      <c r="O39" s="166">
        <v>0.1721331945889698</v>
      </c>
      <c r="P39" s="166">
        <v>0.13420395421436004</v>
      </c>
      <c r="Q39" s="166">
        <v>0.13420395421436004</v>
      </c>
      <c r="R39" s="165">
        <v>15</v>
      </c>
      <c r="S39" s="167">
        <v>1.415682087781732</v>
      </c>
      <c r="T39" s="166">
        <v>1.1036892052194542</v>
      </c>
      <c r="U39" s="168">
        <v>1.1036892052194542</v>
      </c>
      <c r="W39" s="165">
        <v>60</v>
      </c>
      <c r="X39" s="204">
        <f>+C50/O48</f>
        <v>0.7682708221865182</v>
      </c>
      <c r="Y39" s="204">
        <f>+D50/P48</f>
        <v>0.8591221547596759</v>
      </c>
      <c r="Z39" s="205">
        <f>+E50/Q48</f>
        <v>0.9519848957525824</v>
      </c>
      <c r="AA39" s="165">
        <v>60</v>
      </c>
      <c r="AB39" s="204">
        <f>+G50/S48</f>
        <v>1.3611111111111114</v>
      </c>
      <c r="AC39" s="204">
        <f>+H50/T48</f>
        <v>1.3611111111111118</v>
      </c>
      <c r="AD39" s="205">
        <f>+I50/U48</f>
        <v>1.3611111111111112</v>
      </c>
    </row>
    <row r="40" spans="2:30" ht="18" customHeight="1" thickBot="1">
      <c r="B40" s="17">
        <v>20</v>
      </c>
      <c r="C40" s="18">
        <v>3</v>
      </c>
      <c r="D40" s="18">
        <v>3</v>
      </c>
      <c r="E40" s="18">
        <v>3</v>
      </c>
      <c r="F40" s="17">
        <v>20</v>
      </c>
      <c r="G40" s="71">
        <v>5</v>
      </c>
      <c r="H40" s="18">
        <v>4</v>
      </c>
      <c r="I40" s="56">
        <v>4</v>
      </c>
      <c r="J40" s="246">
        <f t="shared" si="5"/>
        <v>2.5453965517241377</v>
      </c>
      <c r="K40" s="246">
        <f t="shared" si="5"/>
        <v>2.1960344827586207</v>
      </c>
      <c r="L40" s="246">
        <f t="shared" si="5"/>
        <v>2.179413793103448</v>
      </c>
      <c r="M40" s="244"/>
      <c r="N40" s="161">
        <v>20</v>
      </c>
      <c r="O40" s="162">
        <v>2.5453965517241377</v>
      </c>
      <c r="P40" s="162">
        <v>2.1960344827586207</v>
      </c>
      <c r="Q40" s="162">
        <v>2.179413793103448</v>
      </c>
      <c r="R40" s="161">
        <v>20</v>
      </c>
      <c r="S40" s="163">
        <v>4.34592523364486</v>
      </c>
      <c r="T40" s="162">
        <v>3.736205607476635</v>
      </c>
      <c r="U40" s="164">
        <v>3.73592523364486</v>
      </c>
      <c r="W40" s="180">
        <v>80</v>
      </c>
      <c r="X40" s="206">
        <f>+C55/O52</f>
        <v>0.7397085653927405</v>
      </c>
      <c r="Y40" s="206">
        <f>+D55/P52</f>
        <v>0.8185921619236114</v>
      </c>
      <c r="Z40" s="207">
        <f>+E55/Q52</f>
        <v>0.8855375190176044</v>
      </c>
      <c r="AA40" s="180">
        <v>80</v>
      </c>
      <c r="AB40" s="206">
        <f>+G55/S52</f>
        <v>1.4101562499999996</v>
      </c>
      <c r="AC40" s="206">
        <f>+H55/T52</f>
        <v>1.4101562499999998</v>
      </c>
      <c r="AD40" s="207">
        <f>+I55/U52</f>
        <v>1.4101562499999998</v>
      </c>
    </row>
    <row r="41" spans="2:21" ht="18" customHeight="1">
      <c r="B41" s="19">
        <v>24</v>
      </c>
      <c r="C41" s="20">
        <v>9</v>
      </c>
      <c r="D41" s="20">
        <v>8</v>
      </c>
      <c r="E41" s="20">
        <v>8</v>
      </c>
      <c r="F41" s="19">
        <v>24</v>
      </c>
      <c r="G41" s="72">
        <v>9</v>
      </c>
      <c r="H41" s="20">
        <v>8</v>
      </c>
      <c r="I41" s="57">
        <v>7</v>
      </c>
      <c r="J41" s="246">
        <f aca="true" t="shared" si="6" ref="J41:L45">IF($B41=$N40,O40,(O41-O40)/($N41-$N40)*($B41-$N40)+O40)</f>
        <v>6.415362329212751</v>
      </c>
      <c r="K41" s="246">
        <f t="shared" si="6"/>
        <v>5.480225764476252</v>
      </c>
      <c r="L41" s="246">
        <f t="shared" si="6"/>
        <v>5.2913355888093685</v>
      </c>
      <c r="M41" s="244"/>
      <c r="N41" s="165">
        <v>25</v>
      </c>
      <c r="O41" s="166">
        <v>7.382853773584905</v>
      </c>
      <c r="P41" s="166">
        <v>6.30127358490566</v>
      </c>
      <c r="Q41" s="166">
        <v>6.069316037735849</v>
      </c>
      <c r="R41" s="165">
        <v>25</v>
      </c>
      <c r="S41" s="167">
        <v>8.237421203438396</v>
      </c>
      <c r="T41" s="166">
        <v>6.921260744985673</v>
      </c>
      <c r="U41" s="168">
        <v>6.913438395415473</v>
      </c>
    </row>
    <row r="42" spans="2:21" ht="18" customHeight="1">
      <c r="B42" s="21">
        <v>28</v>
      </c>
      <c r="C42" s="22">
        <v>19</v>
      </c>
      <c r="D42" s="22">
        <v>16</v>
      </c>
      <c r="E42" s="22">
        <v>16</v>
      </c>
      <c r="F42" s="21">
        <v>28</v>
      </c>
      <c r="G42" s="73">
        <v>13</v>
      </c>
      <c r="H42" s="22">
        <v>11</v>
      </c>
      <c r="I42" s="58">
        <v>10</v>
      </c>
      <c r="J42" s="246">
        <f t="shared" si="6"/>
        <v>13.847594339622642</v>
      </c>
      <c r="K42" s="246">
        <f t="shared" si="6"/>
        <v>11.419830188679246</v>
      </c>
      <c r="L42" s="246">
        <f t="shared" si="6"/>
        <v>10.543575471698112</v>
      </c>
      <c r="M42" s="244"/>
      <c r="N42" s="169">
        <v>30</v>
      </c>
      <c r="O42" s="170">
        <v>18.1574213836478</v>
      </c>
      <c r="P42" s="170">
        <v>14.832201257861636</v>
      </c>
      <c r="Q42" s="170">
        <v>13.52641509433962</v>
      </c>
      <c r="R42" s="169">
        <v>30</v>
      </c>
      <c r="S42" s="171">
        <v>12.865416666666667</v>
      </c>
      <c r="T42" s="170">
        <v>10.36975</v>
      </c>
      <c r="U42" s="172">
        <v>10.267666666666665</v>
      </c>
    </row>
    <row r="43" spans="2:21" ht="18" customHeight="1">
      <c r="B43" s="23">
        <v>32</v>
      </c>
      <c r="C43" s="24">
        <v>34</v>
      </c>
      <c r="D43" s="24">
        <v>30</v>
      </c>
      <c r="E43" s="24">
        <v>28</v>
      </c>
      <c r="F43" s="23">
        <v>32</v>
      </c>
      <c r="G43" s="74">
        <v>17</v>
      </c>
      <c r="H43" s="24">
        <v>15</v>
      </c>
      <c r="I43" s="59">
        <v>14</v>
      </c>
      <c r="J43" s="246">
        <f t="shared" si="6"/>
        <v>26.60051683018868</v>
      </c>
      <c r="K43" s="246">
        <f t="shared" si="6"/>
        <v>21.151128754716982</v>
      </c>
      <c r="L43" s="246">
        <f t="shared" si="6"/>
        <v>18.66762505660377</v>
      </c>
      <c r="M43" s="244"/>
      <c r="N43" s="173">
        <v>35</v>
      </c>
      <c r="O43" s="174">
        <v>39.26516</v>
      </c>
      <c r="P43" s="174">
        <v>30.62952</v>
      </c>
      <c r="Q43" s="174">
        <v>26.37944</v>
      </c>
      <c r="R43" s="173">
        <v>35</v>
      </c>
      <c r="S43" s="175">
        <v>22.963894736842107</v>
      </c>
      <c r="T43" s="174">
        <v>17.81694736842105</v>
      </c>
      <c r="U43" s="176">
        <v>17.073631578947367</v>
      </c>
    </row>
    <row r="44" spans="2:21" ht="18" customHeight="1" thickBot="1">
      <c r="B44" s="17">
        <v>36</v>
      </c>
      <c r="C44" s="18">
        <v>54</v>
      </c>
      <c r="D44" s="18">
        <v>46</v>
      </c>
      <c r="E44" s="18">
        <v>41</v>
      </c>
      <c r="F44" s="25">
        <v>36</v>
      </c>
      <c r="G44" s="79">
        <v>28</v>
      </c>
      <c r="H44" s="26">
        <v>24</v>
      </c>
      <c r="I44" s="60">
        <v>21</v>
      </c>
      <c r="J44" s="246">
        <f t="shared" si="6"/>
        <v>46.58247851546392</v>
      </c>
      <c r="K44" s="246">
        <f t="shared" si="6"/>
        <v>35.94939950515464</v>
      </c>
      <c r="L44" s="246">
        <f t="shared" si="6"/>
        <v>30.57578911340206</v>
      </c>
      <c r="M44" s="244"/>
      <c r="N44" s="161">
        <v>40</v>
      </c>
      <c r="O44" s="162">
        <v>75.85175257731959</v>
      </c>
      <c r="P44" s="162">
        <v>57.2289175257732</v>
      </c>
      <c r="Q44" s="162">
        <v>47.36118556701031</v>
      </c>
      <c r="R44" s="180">
        <v>40</v>
      </c>
      <c r="S44" s="187">
        <v>40.78733333333333</v>
      </c>
      <c r="T44" s="181">
        <v>30.30125</v>
      </c>
      <c r="U44" s="183">
        <v>27.8875</v>
      </c>
    </row>
    <row r="45" spans="2:21" ht="18" customHeight="1">
      <c r="B45" s="19">
        <v>40</v>
      </c>
      <c r="C45" s="20">
        <v>82</v>
      </c>
      <c r="D45" s="20">
        <v>68</v>
      </c>
      <c r="E45" s="20">
        <v>59</v>
      </c>
      <c r="F45" s="23">
        <v>40</v>
      </c>
      <c r="G45" s="74">
        <v>41</v>
      </c>
      <c r="H45" s="24">
        <v>34</v>
      </c>
      <c r="I45" s="59">
        <v>31</v>
      </c>
      <c r="J45" s="246">
        <f t="shared" si="6"/>
        <v>75.85175257731959</v>
      </c>
      <c r="K45" s="246">
        <f t="shared" si="6"/>
        <v>57.2289175257732</v>
      </c>
      <c r="L45" s="246">
        <f t="shared" si="6"/>
        <v>47.36118556701031</v>
      </c>
      <c r="M45" s="244"/>
      <c r="N45" s="165">
        <v>45</v>
      </c>
      <c r="O45" s="166">
        <v>127.12221476510067</v>
      </c>
      <c r="P45" s="166">
        <v>93.70093959731544</v>
      </c>
      <c r="Q45" s="166">
        <v>74.8551677852349</v>
      </c>
      <c r="R45" s="173">
        <v>45</v>
      </c>
      <c r="S45" s="175">
        <v>51.61640625</v>
      </c>
      <c r="T45" s="174">
        <v>38.3484375</v>
      </c>
      <c r="U45" s="176">
        <v>35.300390625</v>
      </c>
    </row>
    <row r="46" spans="2:21" ht="18" customHeight="1">
      <c r="B46" s="21">
        <v>44</v>
      </c>
      <c r="C46" s="22">
        <v>115</v>
      </c>
      <c r="D46" s="22">
        <v>94</v>
      </c>
      <c r="E46" s="22">
        <v>80</v>
      </c>
      <c r="F46" s="21">
        <v>44</v>
      </c>
      <c r="G46" s="129">
        <v>63.72395833333334</v>
      </c>
      <c r="H46" s="122">
        <v>47.34375000000001</v>
      </c>
      <c r="I46" s="124">
        <v>43.580729166666664</v>
      </c>
      <c r="J46" s="246">
        <f aca="true" t="shared" si="7" ref="J46:L50">IF($B46=N44,O44,(O45-O44)/($N45-$N44)*($B46-$N44)+O44)</f>
        <v>116.86812232754446</v>
      </c>
      <c r="K46" s="246">
        <f t="shared" si="7"/>
        <v>86.406535183007</v>
      </c>
      <c r="L46" s="246">
        <f t="shared" si="7"/>
        <v>69.35637134158998</v>
      </c>
      <c r="M46" s="244"/>
      <c r="N46" s="169">
        <v>50</v>
      </c>
      <c r="O46" s="170">
        <v>189.3041525423729</v>
      </c>
      <c r="P46" s="170">
        <v>138.30008474576272</v>
      </c>
      <c r="Q46" s="170">
        <v>108.62050847457627</v>
      </c>
      <c r="R46" s="169">
        <v>50</v>
      </c>
      <c r="S46" s="171">
        <v>63.72395833333334</v>
      </c>
      <c r="T46" s="170">
        <v>47.34375000000001</v>
      </c>
      <c r="U46" s="172">
        <v>43.580729166666664</v>
      </c>
    </row>
    <row r="47" spans="2:21" ht="18" customHeight="1">
      <c r="B47" s="23">
        <v>48</v>
      </c>
      <c r="C47" s="24">
        <v>156</v>
      </c>
      <c r="D47" s="24">
        <v>127</v>
      </c>
      <c r="E47" s="24">
        <v>108</v>
      </c>
      <c r="F47" s="19">
        <v>48</v>
      </c>
      <c r="G47" s="129">
        <v>77.10598958333338</v>
      </c>
      <c r="H47" s="122">
        <v>57.28593750000001</v>
      </c>
      <c r="I47" s="124">
        <v>52.73268229166668</v>
      </c>
      <c r="J47" s="246">
        <f t="shared" si="7"/>
        <v>164.431377431464</v>
      </c>
      <c r="K47" s="246">
        <f t="shared" si="7"/>
        <v>120.46042668638381</v>
      </c>
      <c r="L47" s="246">
        <f t="shared" si="7"/>
        <v>95.11437219883972</v>
      </c>
      <c r="M47" s="244"/>
      <c r="N47" s="173">
        <v>55</v>
      </c>
      <c r="O47" s="174">
        <v>270.04277777777776</v>
      </c>
      <c r="P47" s="174">
        <v>195.82477777777777</v>
      </c>
      <c r="Q47" s="174">
        <v>150.19188888888888</v>
      </c>
      <c r="R47" s="165">
        <v>55</v>
      </c>
      <c r="S47" s="171">
        <v>77.10598958333338</v>
      </c>
      <c r="T47" s="170">
        <v>57.28593750000001</v>
      </c>
      <c r="U47" s="172">
        <v>52.73268229166668</v>
      </c>
    </row>
    <row r="48" spans="2:21" ht="18" customHeight="1" thickBot="1">
      <c r="B48" s="25">
        <v>52</v>
      </c>
      <c r="C48" s="26">
        <v>196</v>
      </c>
      <c r="D48" s="26">
        <v>159</v>
      </c>
      <c r="E48" s="26">
        <v>133</v>
      </c>
      <c r="F48" s="21">
        <v>52</v>
      </c>
      <c r="G48" s="129">
        <v>91.76250000000006</v>
      </c>
      <c r="H48" s="122">
        <v>68.17500000000001</v>
      </c>
      <c r="I48" s="124">
        <v>62.756250000000016</v>
      </c>
      <c r="J48" s="246">
        <f t="shared" si="7"/>
        <v>221.59960263653483</v>
      </c>
      <c r="K48" s="246">
        <f t="shared" si="7"/>
        <v>161.30996195856875</v>
      </c>
      <c r="L48" s="246">
        <f t="shared" si="7"/>
        <v>125.24906064030131</v>
      </c>
      <c r="M48" s="244"/>
      <c r="N48" s="180">
        <v>60</v>
      </c>
      <c r="O48" s="181">
        <v>356.6450684931507</v>
      </c>
      <c r="P48" s="181">
        <v>256.0753424657534</v>
      </c>
      <c r="Q48" s="181">
        <v>189.0786301369863</v>
      </c>
      <c r="R48" s="169">
        <v>60</v>
      </c>
      <c r="S48" s="171">
        <v>91.76250000000006</v>
      </c>
      <c r="T48" s="170">
        <v>68.17500000000001</v>
      </c>
      <c r="U48" s="172">
        <v>62.756250000000016</v>
      </c>
    </row>
    <row r="49" spans="2:21" ht="18" customHeight="1">
      <c r="B49" s="23">
        <v>56</v>
      </c>
      <c r="C49" s="24">
        <v>235</v>
      </c>
      <c r="D49" s="24">
        <v>190</v>
      </c>
      <c r="E49" s="24">
        <v>157</v>
      </c>
      <c r="F49" s="23">
        <v>56</v>
      </c>
      <c r="G49" s="130">
        <v>107.69348958333339</v>
      </c>
      <c r="H49" s="125">
        <v>80.01093750000003</v>
      </c>
      <c r="I49" s="127">
        <v>73.65143229166668</v>
      </c>
      <c r="J49" s="246">
        <f t="shared" si="7"/>
        <v>287.36323592085233</v>
      </c>
      <c r="K49" s="246">
        <f t="shared" si="7"/>
        <v>207.87489071537289</v>
      </c>
      <c r="L49" s="246">
        <f t="shared" si="7"/>
        <v>157.96923713850836</v>
      </c>
      <c r="M49" s="244"/>
      <c r="N49" s="173">
        <v>65</v>
      </c>
      <c r="O49" s="174">
        <v>418.56116818873664</v>
      </c>
      <c r="P49" s="174">
        <v>300.54090563165903</v>
      </c>
      <c r="Q49" s="174">
        <v>221.9089611872146</v>
      </c>
      <c r="R49" s="173">
        <v>65</v>
      </c>
      <c r="S49" s="175">
        <v>107.69348958333339</v>
      </c>
      <c r="T49" s="174">
        <v>80.01093750000003</v>
      </c>
      <c r="U49" s="176">
        <v>73.65143229166668</v>
      </c>
    </row>
    <row r="50" spans="2:21" ht="18" customHeight="1">
      <c r="B50" s="17">
        <v>60</v>
      </c>
      <c r="C50" s="18">
        <v>274</v>
      </c>
      <c r="D50" s="18">
        <v>220</v>
      </c>
      <c r="E50" s="18">
        <v>180</v>
      </c>
      <c r="F50" s="21">
        <v>60</v>
      </c>
      <c r="G50" s="131">
        <v>124.89895833333344</v>
      </c>
      <c r="H50" s="132">
        <v>92.79375000000006</v>
      </c>
      <c r="I50" s="133">
        <v>85.41822916666669</v>
      </c>
      <c r="J50" s="246">
        <f t="shared" si="7"/>
        <v>356.6450684931507</v>
      </c>
      <c r="K50" s="246">
        <f t="shared" si="7"/>
        <v>256.0753424657534</v>
      </c>
      <c r="L50" s="246">
        <f t="shared" si="7"/>
        <v>189.0786301369863</v>
      </c>
      <c r="M50" s="244"/>
      <c r="N50" s="161">
        <v>70</v>
      </c>
      <c r="O50" s="162">
        <v>485.43188736681896</v>
      </c>
      <c r="P50" s="162">
        <v>348.5563165905633</v>
      </c>
      <c r="Q50" s="162">
        <v>257.3618721461188</v>
      </c>
      <c r="R50" s="169">
        <v>70</v>
      </c>
      <c r="S50" s="163">
        <v>124.89895833333344</v>
      </c>
      <c r="T50" s="162">
        <v>92.79375000000006</v>
      </c>
      <c r="U50" s="164">
        <v>85.41822916666669</v>
      </c>
    </row>
    <row r="51" spans="2:21" ht="18" customHeight="1">
      <c r="B51" s="19">
        <v>64</v>
      </c>
      <c r="C51" s="128">
        <f aca="true" t="shared" si="8" ref="C51:C56">9.75*B51-311</f>
        <v>313</v>
      </c>
      <c r="D51" s="128">
        <f aca="true" t="shared" si="9" ref="D51:D56">7.625*B51-237.33</f>
        <v>250.67</v>
      </c>
      <c r="E51" s="128">
        <f aca="true" t="shared" si="10" ref="E51:E56">5.875*B51-172.33</f>
        <v>203.67</v>
      </c>
      <c r="F51" s="19">
        <v>64</v>
      </c>
      <c r="G51" s="134">
        <v>143.37890625000009</v>
      </c>
      <c r="H51" s="128">
        <v>106.52343750000007</v>
      </c>
      <c r="I51" s="135">
        <v>98.05664062500006</v>
      </c>
      <c r="J51" s="246">
        <f aca="true" t="shared" si="11" ref="J51:L55">IF($B51=$N48,O48,(O49-O48)/($N49-$N48)*($B51-$N48)+O48)</f>
        <v>406.1779482496195</v>
      </c>
      <c r="K51" s="246">
        <f t="shared" si="11"/>
        <v>291.6477929984779</v>
      </c>
      <c r="L51" s="246">
        <f t="shared" si="11"/>
        <v>215.34289497716895</v>
      </c>
      <c r="M51" s="244"/>
      <c r="N51" s="165">
        <v>75</v>
      </c>
      <c r="O51" s="166">
        <v>557.255993150685</v>
      </c>
      <c r="P51" s="166">
        <v>400.1284246575345</v>
      </c>
      <c r="Q51" s="166">
        <v>295.44092465753437</v>
      </c>
      <c r="R51" s="165">
        <v>75</v>
      </c>
      <c r="S51" s="167">
        <v>143.37890625000009</v>
      </c>
      <c r="T51" s="166">
        <v>106.52343750000007</v>
      </c>
      <c r="U51" s="168">
        <v>98.05664062500006</v>
      </c>
    </row>
    <row r="52" spans="2:21" s="30" customFormat="1" ht="18" customHeight="1">
      <c r="B52" s="17">
        <v>68</v>
      </c>
      <c r="C52" s="122">
        <f t="shared" si="8"/>
        <v>352</v>
      </c>
      <c r="D52" s="122">
        <f t="shared" si="9"/>
        <v>281.16999999999996</v>
      </c>
      <c r="E52" s="122">
        <f t="shared" si="10"/>
        <v>227.17</v>
      </c>
      <c r="F52" s="21">
        <v>68</v>
      </c>
      <c r="G52" s="129">
        <v>163.13333333333338</v>
      </c>
      <c r="H52" s="122">
        <v>121.20000000000007</v>
      </c>
      <c r="I52" s="124">
        <v>111.56666666666672</v>
      </c>
      <c r="J52" s="246">
        <f t="shared" si="11"/>
        <v>458.68359969558605</v>
      </c>
      <c r="K52" s="246">
        <f t="shared" si="11"/>
        <v>329.3501522070016</v>
      </c>
      <c r="L52" s="246">
        <f t="shared" si="11"/>
        <v>243.18070776255712</v>
      </c>
      <c r="M52" s="244"/>
      <c r="N52" s="161">
        <v>80</v>
      </c>
      <c r="O52" s="170">
        <v>634.0334855403348</v>
      </c>
      <c r="P52" s="170">
        <v>455.25722983257253</v>
      </c>
      <c r="Q52" s="170">
        <v>336.14611872146133</v>
      </c>
      <c r="R52" s="169">
        <v>80</v>
      </c>
      <c r="S52" s="171">
        <v>163.13333333333338</v>
      </c>
      <c r="T52" s="170">
        <v>121.20000000000007</v>
      </c>
      <c r="U52" s="172">
        <v>111.56666666666672</v>
      </c>
    </row>
    <row r="53" spans="2:21" ht="18" customHeight="1">
      <c r="B53" s="19">
        <v>72</v>
      </c>
      <c r="C53" s="125">
        <f t="shared" si="8"/>
        <v>391</v>
      </c>
      <c r="D53" s="125">
        <f t="shared" si="9"/>
        <v>311.66999999999996</v>
      </c>
      <c r="E53" s="125">
        <f t="shared" si="10"/>
        <v>250.67</v>
      </c>
      <c r="F53" s="19">
        <v>72</v>
      </c>
      <c r="G53" s="130">
        <v>184.1622395833334</v>
      </c>
      <c r="H53" s="125">
        <v>136.8234375000001</v>
      </c>
      <c r="I53" s="127">
        <v>125.94830729166672</v>
      </c>
      <c r="J53" s="246">
        <f t="shared" si="11"/>
        <v>514.1615296803653</v>
      </c>
      <c r="K53" s="246">
        <f t="shared" si="11"/>
        <v>369.1851598173518</v>
      </c>
      <c r="L53" s="246">
        <f t="shared" si="11"/>
        <v>272.59349315068505</v>
      </c>
      <c r="M53" s="244"/>
      <c r="N53" s="165">
        <v>85</v>
      </c>
      <c r="O53" s="174">
        <v>715.7643645357687</v>
      </c>
      <c r="P53" s="174">
        <v>513.9427321156776</v>
      </c>
      <c r="Q53" s="174">
        <v>379.47745433789964</v>
      </c>
      <c r="R53" s="165">
        <v>85</v>
      </c>
      <c r="S53" s="175">
        <v>184.1622395833334</v>
      </c>
      <c r="T53" s="174">
        <v>136.8234375000001</v>
      </c>
      <c r="U53" s="176">
        <v>125.94830729166672</v>
      </c>
    </row>
    <row r="54" spans="2:44" ht="18" customHeight="1">
      <c r="B54" s="17">
        <v>76</v>
      </c>
      <c r="C54" s="122">
        <f t="shared" si="8"/>
        <v>430</v>
      </c>
      <c r="D54" s="122">
        <f t="shared" si="9"/>
        <v>342.16999999999996</v>
      </c>
      <c r="E54" s="122">
        <f t="shared" si="10"/>
        <v>274.16999999999996</v>
      </c>
      <c r="F54" s="21">
        <v>76</v>
      </c>
      <c r="G54" s="129">
        <v>206.46562500000005</v>
      </c>
      <c r="H54" s="122">
        <v>153.3937500000001</v>
      </c>
      <c r="I54" s="124">
        <v>141.20156250000008</v>
      </c>
      <c r="J54" s="246">
        <f t="shared" si="11"/>
        <v>572.6114916286149</v>
      </c>
      <c r="K54" s="246">
        <f t="shared" si="11"/>
        <v>411.1541856925421</v>
      </c>
      <c r="L54" s="246">
        <f t="shared" si="11"/>
        <v>303.58196347031975</v>
      </c>
      <c r="M54" s="244"/>
      <c r="N54" s="161">
        <v>90</v>
      </c>
      <c r="O54" s="170">
        <v>802.4486301369864</v>
      </c>
      <c r="P54" s="170">
        <v>576.1849315068497</v>
      </c>
      <c r="Q54" s="170">
        <v>425.4349315068494</v>
      </c>
      <c r="R54" s="169">
        <v>90</v>
      </c>
      <c r="S54" s="171">
        <v>206.46562500000005</v>
      </c>
      <c r="T54" s="170">
        <v>153.3937500000001</v>
      </c>
      <c r="U54" s="172">
        <v>141.20156250000008</v>
      </c>
      <c r="AK54" s="9"/>
      <c r="AL54" s="9"/>
      <c r="AM54" s="9"/>
      <c r="AN54" s="9"/>
      <c r="AO54" s="9"/>
      <c r="AP54" s="9"/>
      <c r="AQ54" s="9"/>
      <c r="AR54" s="9"/>
    </row>
    <row r="55" spans="2:44" ht="18" customHeight="1">
      <c r="B55" s="19">
        <v>80</v>
      </c>
      <c r="C55" s="125">
        <f t="shared" si="8"/>
        <v>469</v>
      </c>
      <c r="D55" s="125">
        <f t="shared" si="9"/>
        <v>372.66999999999996</v>
      </c>
      <c r="E55" s="125">
        <f t="shared" si="10"/>
        <v>297.66999999999996</v>
      </c>
      <c r="F55" s="19">
        <v>80</v>
      </c>
      <c r="G55" s="130">
        <v>230.04348958333333</v>
      </c>
      <c r="H55" s="125">
        <v>170.91093750000007</v>
      </c>
      <c r="I55" s="127">
        <v>157.32643229166672</v>
      </c>
      <c r="J55" s="246">
        <f t="shared" si="11"/>
        <v>634.0334855403348</v>
      </c>
      <c r="K55" s="246">
        <f t="shared" si="11"/>
        <v>455.25722983257253</v>
      </c>
      <c r="L55" s="246">
        <f t="shared" si="11"/>
        <v>336.14611872146133</v>
      </c>
      <c r="M55" s="244"/>
      <c r="N55" s="165">
        <v>95</v>
      </c>
      <c r="O55" s="174">
        <v>894.0862823439879</v>
      </c>
      <c r="P55" s="174">
        <v>641.9838280060886</v>
      </c>
      <c r="Q55" s="174">
        <v>474.0185502283105</v>
      </c>
      <c r="R55" s="165">
        <v>95</v>
      </c>
      <c r="S55" s="175">
        <v>230.04348958333333</v>
      </c>
      <c r="T55" s="174">
        <v>170.91093750000007</v>
      </c>
      <c r="U55" s="176">
        <v>157.32643229166672</v>
      </c>
      <c r="AK55" s="9"/>
      <c r="AL55" s="9"/>
      <c r="AM55" s="9"/>
      <c r="AN55" s="9"/>
      <c r="AO55" s="9"/>
      <c r="AP55" s="9"/>
      <c r="AQ55" s="9"/>
      <c r="AR55" s="9"/>
    </row>
    <row r="56" spans="2:44" ht="18" customHeight="1">
      <c r="B56" s="17">
        <v>84</v>
      </c>
      <c r="C56" s="122">
        <f t="shared" si="8"/>
        <v>508</v>
      </c>
      <c r="D56" s="122">
        <f t="shared" si="9"/>
        <v>403.16999999999996</v>
      </c>
      <c r="E56" s="122">
        <f t="shared" si="10"/>
        <v>321.16999999999996</v>
      </c>
      <c r="F56" s="21">
        <v>84</v>
      </c>
      <c r="G56" s="129">
        <v>254.8958333333333</v>
      </c>
      <c r="H56" s="122">
        <v>189.37500000000009</v>
      </c>
      <c r="I56" s="124">
        <v>174.3229166666667</v>
      </c>
      <c r="J56" s="246">
        <f aca="true" t="shared" si="12" ref="J56:L58">IF($B56=$N52,O52,(O53-O52)/($N53-$N52)*($B56-$N52)+O52)</f>
        <v>699.4181887366819</v>
      </c>
      <c r="K56" s="246">
        <f t="shared" si="12"/>
        <v>502.20563165905656</v>
      </c>
      <c r="L56" s="246">
        <f t="shared" si="12"/>
        <v>370.811187214612</v>
      </c>
      <c r="M56" s="244"/>
      <c r="N56" s="161">
        <v>100</v>
      </c>
      <c r="O56" s="170">
        <v>990.6773211567734</v>
      </c>
      <c r="P56" s="170">
        <v>711.3394216133946</v>
      </c>
      <c r="Q56" s="170">
        <v>525.2283105022831</v>
      </c>
      <c r="R56" s="169">
        <v>100</v>
      </c>
      <c r="S56" s="171">
        <v>254.8958333333333</v>
      </c>
      <c r="T56" s="170">
        <v>189.37500000000009</v>
      </c>
      <c r="U56" s="172">
        <v>174.3229166666667</v>
      </c>
      <c r="AK56" s="9"/>
      <c r="AL56" s="9"/>
      <c r="AM56" s="9"/>
      <c r="AN56" s="9"/>
      <c r="AO56" s="9"/>
      <c r="AP56" s="9"/>
      <c r="AQ56" s="9"/>
      <c r="AR56" s="9"/>
    </row>
    <row r="57" spans="2:44" ht="18" customHeight="1">
      <c r="B57" s="19">
        <v>88</v>
      </c>
      <c r="C57" s="24"/>
      <c r="D57" s="24"/>
      <c r="E57" s="24"/>
      <c r="F57" s="19">
        <v>88</v>
      </c>
      <c r="G57" s="92"/>
      <c r="H57" s="24"/>
      <c r="I57" s="59"/>
      <c r="J57" s="246">
        <f t="shared" si="12"/>
        <v>767.7749238964993</v>
      </c>
      <c r="K57" s="246">
        <f t="shared" si="12"/>
        <v>551.2880517503809</v>
      </c>
      <c r="L57" s="246">
        <f t="shared" si="12"/>
        <v>407.0519406392695</v>
      </c>
      <c r="M57" s="244"/>
      <c r="N57" s="165">
        <v>105</v>
      </c>
      <c r="O57" s="174"/>
      <c r="P57" s="174"/>
      <c r="Q57" s="174"/>
      <c r="R57" s="165">
        <v>105</v>
      </c>
      <c r="S57" s="188"/>
      <c r="T57" s="174"/>
      <c r="U57" s="176"/>
      <c r="AK57" s="9"/>
      <c r="AL57" s="9"/>
      <c r="AM57" s="9"/>
      <c r="AN57" s="9"/>
      <c r="AO57" s="9"/>
      <c r="AP57" s="9"/>
      <c r="AQ57" s="9"/>
      <c r="AR57" s="9"/>
    </row>
    <row r="58" spans="2:44" ht="18" customHeight="1" thickBot="1">
      <c r="B58" s="25">
        <v>92</v>
      </c>
      <c r="C58" s="26"/>
      <c r="D58" s="26"/>
      <c r="E58" s="26"/>
      <c r="F58" s="25">
        <v>92</v>
      </c>
      <c r="G58" s="79"/>
      <c r="H58" s="26"/>
      <c r="I58" s="60"/>
      <c r="J58" s="246">
        <f t="shared" si="12"/>
        <v>839.103691019787</v>
      </c>
      <c r="K58" s="246">
        <f t="shared" si="12"/>
        <v>602.5044901065453</v>
      </c>
      <c r="L58" s="246">
        <f t="shared" si="12"/>
        <v>444.86837899543383</v>
      </c>
      <c r="M58" s="244"/>
      <c r="N58" s="180">
        <v>110</v>
      </c>
      <c r="O58" s="181"/>
      <c r="P58" s="181"/>
      <c r="Q58" s="181"/>
      <c r="R58" s="180">
        <v>110</v>
      </c>
      <c r="S58" s="187"/>
      <c r="T58" s="181"/>
      <c r="U58" s="183"/>
      <c r="AK58" s="9"/>
      <c r="AL58" s="9"/>
      <c r="AM58" s="9"/>
      <c r="AN58" s="9"/>
      <c r="AO58" s="9"/>
      <c r="AP58" s="9"/>
      <c r="AQ58" s="9"/>
      <c r="AR58" s="9"/>
    </row>
    <row r="59" spans="14:44" ht="18" customHeight="1" thickBot="1">
      <c r="N59" s="184"/>
      <c r="O59" s="184"/>
      <c r="P59" s="184"/>
      <c r="Q59" s="184"/>
      <c r="R59" s="184"/>
      <c r="S59" s="184"/>
      <c r="T59" s="184"/>
      <c r="U59" s="184"/>
      <c r="AK59" s="9"/>
      <c r="AL59" s="9"/>
      <c r="AM59" s="9"/>
      <c r="AN59" s="9"/>
      <c r="AO59" s="9"/>
      <c r="AP59" s="9"/>
      <c r="AQ59" s="9"/>
      <c r="AR59" s="9"/>
    </row>
    <row r="60" spans="2:44" ht="18" customHeight="1">
      <c r="B60" s="5"/>
      <c r="C60" s="6"/>
      <c r="D60" s="7"/>
      <c r="E60" s="7"/>
      <c r="F60" s="5"/>
      <c r="G60" s="7"/>
      <c r="H60" s="7"/>
      <c r="I60" s="52"/>
      <c r="N60" s="142"/>
      <c r="O60" s="143"/>
      <c r="P60" s="145"/>
      <c r="Q60" s="145"/>
      <c r="R60" s="142"/>
      <c r="S60" s="145"/>
      <c r="T60" s="145"/>
      <c r="U60" s="146"/>
      <c r="W60" s="142"/>
      <c r="X60" s="143"/>
      <c r="Y60" s="144"/>
      <c r="Z60" s="146"/>
      <c r="AA60" s="142"/>
      <c r="AB60" s="143"/>
      <c r="AC60" s="144"/>
      <c r="AD60" s="146"/>
      <c r="AK60" s="9"/>
      <c r="AL60" s="9"/>
      <c r="AM60" s="9"/>
      <c r="AN60" s="9"/>
      <c r="AO60" s="9"/>
      <c r="AP60" s="9"/>
      <c r="AQ60" s="9"/>
      <c r="AR60" s="9"/>
    </row>
    <row r="61" spans="2:44" ht="18" customHeight="1">
      <c r="B61" s="10"/>
      <c r="C61" s="65"/>
      <c r="D61" s="66" t="s">
        <v>20</v>
      </c>
      <c r="E61" s="67"/>
      <c r="F61" s="10"/>
      <c r="G61" s="65"/>
      <c r="H61" s="66" t="s">
        <v>21</v>
      </c>
      <c r="I61" s="67"/>
      <c r="J61" s="269" t="s">
        <v>69</v>
      </c>
      <c r="K61" s="270"/>
      <c r="L61" s="270"/>
      <c r="N61" s="147"/>
      <c r="O61" s="148"/>
      <c r="P61" s="149" t="s">
        <v>20</v>
      </c>
      <c r="Q61" s="150"/>
      <c r="R61" s="147"/>
      <c r="S61" s="148"/>
      <c r="T61" s="149" t="s">
        <v>21</v>
      </c>
      <c r="U61" s="150"/>
      <c r="W61" s="147"/>
      <c r="X61" s="148"/>
      <c r="Y61" s="149" t="s">
        <v>23</v>
      </c>
      <c r="Z61" s="150"/>
      <c r="AA61" s="147"/>
      <c r="AB61" s="148"/>
      <c r="AC61" s="149" t="s">
        <v>27</v>
      </c>
      <c r="AD61" s="150"/>
      <c r="AK61" s="9"/>
      <c r="AL61" s="9"/>
      <c r="AM61" s="9"/>
      <c r="AN61" s="9"/>
      <c r="AO61" s="9"/>
      <c r="AP61" s="9"/>
      <c r="AQ61" s="9"/>
      <c r="AR61" s="9"/>
    </row>
    <row r="62" spans="2:44" ht="18" customHeight="1">
      <c r="B62" s="12" t="s">
        <v>4</v>
      </c>
      <c r="C62" s="31" t="s">
        <v>13</v>
      </c>
      <c r="D62" s="31" t="s">
        <v>14</v>
      </c>
      <c r="E62" s="31" t="s">
        <v>15</v>
      </c>
      <c r="F62" s="12" t="s">
        <v>4</v>
      </c>
      <c r="G62" s="31" t="s">
        <v>13</v>
      </c>
      <c r="H62" s="31" t="s">
        <v>14</v>
      </c>
      <c r="I62" s="53" t="s">
        <v>15</v>
      </c>
      <c r="J62" s="245" t="s">
        <v>13</v>
      </c>
      <c r="K62" s="245" t="s">
        <v>14</v>
      </c>
      <c r="L62" s="245" t="s">
        <v>15</v>
      </c>
      <c r="N62" s="151" t="s">
        <v>4</v>
      </c>
      <c r="O62" s="152" t="s">
        <v>13</v>
      </c>
      <c r="P62" s="152" t="s">
        <v>14</v>
      </c>
      <c r="Q62" s="152" t="s">
        <v>15</v>
      </c>
      <c r="R62" s="151" t="s">
        <v>4</v>
      </c>
      <c r="S62" s="152" t="s">
        <v>13</v>
      </c>
      <c r="T62" s="152" t="s">
        <v>14</v>
      </c>
      <c r="U62" s="153" t="s">
        <v>15</v>
      </c>
      <c r="W62" s="151" t="s">
        <v>4</v>
      </c>
      <c r="X62" s="152" t="s">
        <v>13</v>
      </c>
      <c r="Y62" s="152" t="s">
        <v>14</v>
      </c>
      <c r="Z62" s="153" t="s">
        <v>15</v>
      </c>
      <c r="AA62" s="151" t="s">
        <v>4</v>
      </c>
      <c r="AB62" s="152" t="s">
        <v>13</v>
      </c>
      <c r="AC62" s="152" t="s">
        <v>14</v>
      </c>
      <c r="AD62" s="153" t="s">
        <v>15</v>
      </c>
      <c r="AK62" s="9"/>
      <c r="AL62" s="9"/>
      <c r="AM62" s="9"/>
      <c r="AN62" s="9"/>
      <c r="AO62" s="9"/>
      <c r="AP62" s="9"/>
      <c r="AQ62" s="9"/>
      <c r="AR62" s="9"/>
    </row>
    <row r="63" spans="2:44" ht="18" customHeight="1" thickBot="1">
      <c r="B63" s="12" t="s">
        <v>16</v>
      </c>
      <c r="C63" s="13" t="s">
        <v>17</v>
      </c>
      <c r="D63" s="13" t="s">
        <v>17</v>
      </c>
      <c r="E63" s="13" t="s">
        <v>17</v>
      </c>
      <c r="F63" s="68" t="s">
        <v>16</v>
      </c>
      <c r="G63" s="14" t="s">
        <v>17</v>
      </c>
      <c r="H63" s="13" t="s">
        <v>17</v>
      </c>
      <c r="I63" s="54" t="s">
        <v>17</v>
      </c>
      <c r="N63" s="151" t="s">
        <v>16</v>
      </c>
      <c r="O63" s="154" t="s">
        <v>17</v>
      </c>
      <c r="P63" s="154" t="s">
        <v>17</v>
      </c>
      <c r="Q63" s="154" t="s">
        <v>17</v>
      </c>
      <c r="R63" s="189" t="s">
        <v>16</v>
      </c>
      <c r="S63" s="155" t="s">
        <v>17</v>
      </c>
      <c r="T63" s="154" t="s">
        <v>17</v>
      </c>
      <c r="U63" s="156" t="s">
        <v>17</v>
      </c>
      <c r="W63" s="151" t="s">
        <v>16</v>
      </c>
      <c r="X63" s="154" t="s">
        <v>17</v>
      </c>
      <c r="Y63" s="154" t="s">
        <v>17</v>
      </c>
      <c r="Z63" s="156" t="s">
        <v>17</v>
      </c>
      <c r="AA63" s="151" t="s">
        <v>16</v>
      </c>
      <c r="AB63" s="154" t="s">
        <v>17</v>
      </c>
      <c r="AC63" s="154" t="s">
        <v>17</v>
      </c>
      <c r="AD63" s="156" t="s">
        <v>17</v>
      </c>
      <c r="AK63" s="9"/>
      <c r="AL63" s="9"/>
      <c r="AM63" s="9"/>
      <c r="AN63" s="9"/>
      <c r="AO63" s="9"/>
      <c r="AP63" s="9"/>
      <c r="AQ63" s="9"/>
      <c r="AR63" s="9"/>
    </row>
    <row r="64" spans="2:44" ht="18" customHeight="1">
      <c r="B64" s="15">
        <v>8</v>
      </c>
      <c r="C64" s="16">
        <v>0</v>
      </c>
      <c r="D64" s="16">
        <v>0</v>
      </c>
      <c r="E64" s="16">
        <v>0</v>
      </c>
      <c r="F64" s="15">
        <v>8</v>
      </c>
      <c r="G64" s="70">
        <v>0</v>
      </c>
      <c r="H64" s="16">
        <v>0</v>
      </c>
      <c r="I64" s="55">
        <v>0</v>
      </c>
      <c r="N64" s="157">
        <v>5</v>
      </c>
      <c r="O64" s="158">
        <v>0</v>
      </c>
      <c r="P64" s="158">
        <v>0</v>
      </c>
      <c r="Q64" s="158">
        <v>0</v>
      </c>
      <c r="R64" s="157">
        <v>5</v>
      </c>
      <c r="S64" s="159">
        <v>0</v>
      </c>
      <c r="T64" s="158">
        <v>0</v>
      </c>
      <c r="U64" s="160">
        <v>0</v>
      </c>
      <c r="W64" s="157">
        <v>20</v>
      </c>
      <c r="X64" s="200">
        <f>+C67/O67</f>
        <v>1.3876727516072431</v>
      </c>
      <c r="Y64" s="200">
        <f>+D67/P67</f>
        <v>1.729395997659838</v>
      </c>
      <c r="Z64" s="201">
        <f>+E67/Q67</f>
        <v>1.4081969133188577</v>
      </c>
      <c r="AA64" s="157">
        <v>20</v>
      </c>
      <c r="AB64" s="200">
        <f>+G67/S67</f>
        <v>1.4704439904984072</v>
      </c>
      <c r="AC64" s="200">
        <f>+H67/T67</f>
        <v>1.374296510052134</v>
      </c>
      <c r="AD64" s="201">
        <f>+I67/U67</f>
        <v>1.4309349771194273</v>
      </c>
      <c r="AK64" s="9"/>
      <c r="AL64" s="9"/>
      <c r="AM64" s="9"/>
      <c r="AN64" s="9"/>
      <c r="AO64" s="9"/>
      <c r="AP64" s="9"/>
      <c r="AQ64" s="9"/>
      <c r="AR64" s="9"/>
    </row>
    <row r="65" spans="2:44" ht="18" customHeight="1">
      <c r="B65" s="17">
        <v>12</v>
      </c>
      <c r="C65" s="18">
        <v>0</v>
      </c>
      <c r="D65" s="18">
        <v>0</v>
      </c>
      <c r="E65" s="18">
        <v>0</v>
      </c>
      <c r="F65" s="17">
        <v>12</v>
      </c>
      <c r="G65" s="71">
        <v>0</v>
      </c>
      <c r="H65" s="18">
        <v>0</v>
      </c>
      <c r="I65" s="56">
        <v>0</v>
      </c>
      <c r="J65" s="246">
        <f aca="true" t="shared" si="13" ref="J65:L67">IF($B65=$N65,O65,(O66-O65)/($N66-$N65)*($B65-$N65)+O65)</f>
        <v>0.12422480146609652</v>
      </c>
      <c r="K65" s="246">
        <f t="shared" si="13"/>
        <v>0.06205009163103238</v>
      </c>
      <c r="L65" s="246">
        <f t="shared" si="13"/>
        <v>0.05894685400122175</v>
      </c>
      <c r="M65" s="244"/>
      <c r="N65" s="161">
        <v>10</v>
      </c>
      <c r="O65" s="162">
        <v>0</v>
      </c>
      <c r="P65" s="162">
        <v>0</v>
      </c>
      <c r="Q65" s="162">
        <v>0</v>
      </c>
      <c r="R65" s="161">
        <v>10</v>
      </c>
      <c r="S65" s="163">
        <v>0.014252481389578164</v>
      </c>
      <c r="T65" s="162">
        <v>0.00553970223325062</v>
      </c>
      <c r="U65" s="164">
        <v>0.00553970223325062</v>
      </c>
      <c r="W65" s="161">
        <v>40</v>
      </c>
      <c r="X65" s="202">
        <f>+C72/O71</f>
        <v>1.4720874380031606</v>
      </c>
      <c r="Y65" s="202">
        <f>+D72/P71</f>
        <v>1.4933037148656527</v>
      </c>
      <c r="Z65" s="203">
        <f>+E72/Q71</f>
        <v>1.5208313061253096</v>
      </c>
      <c r="AA65" s="161">
        <v>40</v>
      </c>
      <c r="AB65" s="202">
        <f>+G72/S71</f>
        <v>1.3340894605175695</v>
      </c>
      <c r="AC65" s="202">
        <f>+H72/T71</f>
        <v>1.3909935752367406</v>
      </c>
      <c r="AD65" s="203">
        <f>+I72/U71</f>
        <v>1.4291776973910233</v>
      </c>
      <c r="AK65" s="9"/>
      <c r="AL65" s="9"/>
      <c r="AM65" s="9"/>
      <c r="AN65" s="9"/>
      <c r="AO65" s="9"/>
      <c r="AP65" s="9"/>
      <c r="AQ65" s="9"/>
      <c r="AR65" s="9"/>
    </row>
    <row r="66" spans="2:44" ht="18" customHeight="1">
      <c r="B66" s="19">
        <v>16</v>
      </c>
      <c r="C66" s="20">
        <v>1</v>
      </c>
      <c r="D66" s="20">
        <v>1</v>
      </c>
      <c r="E66" s="20">
        <v>1</v>
      </c>
      <c r="F66" s="19">
        <v>16</v>
      </c>
      <c r="G66" s="72">
        <v>1</v>
      </c>
      <c r="H66" s="20">
        <v>1</v>
      </c>
      <c r="I66" s="57">
        <v>1</v>
      </c>
      <c r="J66" s="246">
        <f t="shared" si="13"/>
        <v>0.8249544013966843</v>
      </c>
      <c r="K66" s="246">
        <f t="shared" si="13"/>
        <v>0.5866894347016042</v>
      </c>
      <c r="L66" s="246">
        <f t="shared" si="13"/>
        <v>0.5439704834343053</v>
      </c>
      <c r="M66" s="244"/>
      <c r="N66" s="165">
        <v>15</v>
      </c>
      <c r="O66" s="166">
        <v>0.3105620036652413</v>
      </c>
      <c r="P66" s="166">
        <v>0.15512522907758095</v>
      </c>
      <c r="Q66" s="166">
        <v>0.14736713500305437</v>
      </c>
      <c r="R66" s="165">
        <v>15</v>
      </c>
      <c r="S66" s="167">
        <v>0.5075853187379266</v>
      </c>
      <c r="T66" s="166">
        <v>0.34656793303283967</v>
      </c>
      <c r="U66" s="168">
        <v>0.3434771410173857</v>
      </c>
      <c r="W66" s="165">
        <v>60</v>
      </c>
      <c r="X66" s="204">
        <f>+C77/O75</f>
        <v>1.3764087547059256</v>
      </c>
      <c r="Y66" s="204">
        <f>+D77/P75</f>
        <v>1.3344164346728093</v>
      </c>
      <c r="Z66" s="205">
        <f>+E77/Q75</f>
        <v>1.3492735887539615</v>
      </c>
      <c r="AA66" s="165">
        <v>60</v>
      </c>
      <c r="AB66" s="204">
        <f>+G77/S75</f>
        <v>1.0488588801144656</v>
      </c>
      <c r="AC66" s="204">
        <f>+H77/T75</f>
        <v>1.0563793247884727</v>
      </c>
      <c r="AD66" s="205">
        <f>+I77/U75</f>
        <v>1.0905429646445886</v>
      </c>
      <c r="AK66" s="9"/>
      <c r="AL66" s="9"/>
      <c r="AM66" s="9"/>
      <c r="AN66" s="9"/>
      <c r="AO66" s="9"/>
      <c r="AP66" s="9"/>
      <c r="AQ66" s="9"/>
      <c r="AR66" s="9"/>
    </row>
    <row r="67" spans="2:44" ht="18" customHeight="1" thickBot="1">
      <c r="B67" s="17">
        <v>20</v>
      </c>
      <c r="C67" s="18">
        <v>4</v>
      </c>
      <c r="D67" s="18">
        <v>4</v>
      </c>
      <c r="E67" s="18">
        <v>3</v>
      </c>
      <c r="F67" s="17">
        <v>20</v>
      </c>
      <c r="G67" s="71">
        <v>4</v>
      </c>
      <c r="H67" s="18">
        <v>3</v>
      </c>
      <c r="I67" s="56">
        <v>3</v>
      </c>
      <c r="J67" s="246">
        <f t="shared" si="13"/>
        <v>2.882523992322457</v>
      </c>
      <c r="K67" s="246">
        <f t="shared" si="13"/>
        <v>2.312946257197697</v>
      </c>
      <c r="L67" s="246">
        <f t="shared" si="13"/>
        <v>2.1303838771593093</v>
      </c>
      <c r="M67" s="244"/>
      <c r="N67" s="161">
        <v>20</v>
      </c>
      <c r="O67" s="162">
        <v>2.882523992322457</v>
      </c>
      <c r="P67" s="162">
        <v>2.312946257197697</v>
      </c>
      <c r="Q67" s="162">
        <v>2.1303838771593093</v>
      </c>
      <c r="R67" s="161">
        <v>20</v>
      </c>
      <c r="S67" s="163">
        <v>2.7202668213457075</v>
      </c>
      <c r="T67" s="162">
        <v>2.1829350348027843</v>
      </c>
      <c r="U67" s="164">
        <v>2.0965313225058004</v>
      </c>
      <c r="W67" s="180">
        <v>80</v>
      </c>
      <c r="X67" s="206">
        <f>+C82/O79</f>
        <v>1.2116185869752978</v>
      </c>
      <c r="Y67" s="206">
        <f>+D82/P79</f>
        <v>1.1746799549643467</v>
      </c>
      <c r="Z67" s="207">
        <f>+E82/Q79</f>
        <v>1.191410080407923</v>
      </c>
      <c r="AA67" s="180">
        <v>80</v>
      </c>
      <c r="AB67" s="206">
        <f>+G82/S79</f>
        <v>0.9875720015781165</v>
      </c>
      <c r="AC67" s="206">
        <f>+H82/T79</f>
        <v>0.9941924392627755</v>
      </c>
      <c r="AD67" s="207">
        <f>+I82/U79</f>
        <v>1.022365298134577</v>
      </c>
      <c r="AK67" s="9"/>
      <c r="AL67" s="9"/>
      <c r="AM67" s="9"/>
      <c r="AN67" s="9"/>
      <c r="AO67" s="9"/>
      <c r="AP67" s="9"/>
      <c r="AQ67" s="9"/>
      <c r="AR67" s="9"/>
    </row>
    <row r="68" spans="2:44" ht="18" customHeight="1">
      <c r="B68" s="19">
        <v>24</v>
      </c>
      <c r="C68" s="20">
        <v>14</v>
      </c>
      <c r="D68" s="20">
        <v>12</v>
      </c>
      <c r="E68" s="20">
        <v>11</v>
      </c>
      <c r="F68" s="19">
        <v>24</v>
      </c>
      <c r="G68" s="72">
        <v>10</v>
      </c>
      <c r="H68" s="20">
        <v>9</v>
      </c>
      <c r="I68" s="57">
        <v>8</v>
      </c>
      <c r="J68" s="246">
        <f aca="true" t="shared" si="14" ref="J68:L72">IF($B68=$N67,O67,(O68-O67)/($N68-$N67)*($B68-$N67)+O67)</f>
        <v>8.762658215479833</v>
      </c>
      <c r="K68" s="246">
        <f t="shared" si="14"/>
        <v>7.2096575917463745</v>
      </c>
      <c r="L68" s="246">
        <f t="shared" si="14"/>
        <v>6.400313874455572</v>
      </c>
      <c r="M68" s="244"/>
      <c r="N68" s="165">
        <v>25</v>
      </c>
      <c r="O68" s="166">
        <v>10.232691771269177</v>
      </c>
      <c r="P68" s="166">
        <v>8.433835425383544</v>
      </c>
      <c r="Q68" s="166">
        <v>7.467796373779637</v>
      </c>
      <c r="R68" s="165">
        <v>25</v>
      </c>
      <c r="S68" s="167">
        <v>8.339339449541283</v>
      </c>
      <c r="T68" s="166">
        <v>6.869321100917432</v>
      </c>
      <c r="U68" s="168">
        <v>6.2908073394495405</v>
      </c>
      <c r="AK68" s="9"/>
      <c r="AL68" s="9"/>
      <c r="AM68" s="9"/>
      <c r="AN68" s="9"/>
      <c r="AO68" s="9"/>
      <c r="AP68" s="9"/>
      <c r="AQ68" s="9"/>
      <c r="AR68" s="9"/>
    </row>
    <row r="69" spans="2:44" ht="18" customHeight="1">
      <c r="B69" s="21">
        <v>28</v>
      </c>
      <c r="C69" s="22">
        <v>27</v>
      </c>
      <c r="D69" s="22">
        <v>23</v>
      </c>
      <c r="E69" s="22">
        <v>21</v>
      </c>
      <c r="F69" s="21">
        <v>28</v>
      </c>
      <c r="G69" s="73">
        <v>19</v>
      </c>
      <c r="H69" s="22">
        <v>16</v>
      </c>
      <c r="I69" s="58">
        <v>15</v>
      </c>
      <c r="J69" s="246">
        <f t="shared" si="14"/>
        <v>18.60523500966597</v>
      </c>
      <c r="K69" s="246">
        <f t="shared" si="14"/>
        <v>15.32307857169782</v>
      </c>
      <c r="L69" s="246">
        <f t="shared" si="14"/>
        <v>13.385628202021504</v>
      </c>
      <c r="M69" s="244"/>
      <c r="N69" s="169">
        <v>30</v>
      </c>
      <c r="O69" s="170">
        <v>24.1869305019305</v>
      </c>
      <c r="P69" s="170">
        <v>19.915907335907338</v>
      </c>
      <c r="Q69" s="170">
        <v>17.330849420849418</v>
      </c>
      <c r="R69" s="169">
        <v>30</v>
      </c>
      <c r="S69" s="171">
        <v>16.733588390501318</v>
      </c>
      <c r="T69" s="170">
        <v>13.636860158311345</v>
      </c>
      <c r="U69" s="172">
        <v>12.08641160949868</v>
      </c>
      <c r="AK69" s="9"/>
      <c r="AL69" s="9"/>
      <c r="AM69" s="9"/>
      <c r="AN69" s="9"/>
      <c r="AO69" s="9"/>
      <c r="AP69" s="9"/>
      <c r="AQ69" s="9"/>
      <c r="AR69" s="9"/>
    </row>
    <row r="70" spans="2:44" ht="18" customHeight="1">
      <c r="B70" s="23">
        <v>32</v>
      </c>
      <c r="C70" s="24">
        <v>48</v>
      </c>
      <c r="D70" s="24">
        <v>41</v>
      </c>
      <c r="E70" s="24">
        <v>37</v>
      </c>
      <c r="F70" s="23">
        <v>32</v>
      </c>
      <c r="G70" s="74">
        <v>31</v>
      </c>
      <c r="H70" s="24">
        <v>27</v>
      </c>
      <c r="I70" s="59">
        <v>25</v>
      </c>
      <c r="J70" s="246">
        <f t="shared" si="14"/>
        <v>32.15619964482755</v>
      </c>
      <c r="K70" s="246">
        <f t="shared" si="14"/>
        <v>26.466691688366108</v>
      </c>
      <c r="L70" s="246">
        <f t="shared" si="14"/>
        <v>22.995718954835233</v>
      </c>
      <c r="M70" s="244"/>
      <c r="N70" s="173">
        <v>35</v>
      </c>
      <c r="O70" s="174">
        <v>44.11010335917313</v>
      </c>
      <c r="P70" s="174">
        <v>36.29286821705426</v>
      </c>
      <c r="Q70" s="174">
        <v>31.493023255813952</v>
      </c>
      <c r="R70" s="173">
        <v>35</v>
      </c>
      <c r="S70" s="175">
        <v>29.07321167883212</v>
      </c>
      <c r="T70" s="174">
        <v>23.728284671532847</v>
      </c>
      <c r="U70" s="176">
        <v>20.827992700729926</v>
      </c>
      <c r="AK70" s="9"/>
      <c r="AL70" s="9"/>
      <c r="AM70" s="9"/>
      <c r="AN70" s="9"/>
      <c r="AO70" s="9"/>
      <c r="AP70" s="9"/>
      <c r="AQ70" s="9"/>
      <c r="AR70" s="9"/>
    </row>
    <row r="71" spans="2:44" ht="18" customHeight="1">
      <c r="B71" s="17">
        <v>36</v>
      </c>
      <c r="C71" s="18">
        <v>72</v>
      </c>
      <c r="D71" s="18">
        <v>61</v>
      </c>
      <c r="E71" s="18">
        <v>55</v>
      </c>
      <c r="F71" s="17">
        <v>36</v>
      </c>
      <c r="G71" s="71">
        <v>47</v>
      </c>
      <c r="H71" s="18">
        <v>41</v>
      </c>
      <c r="I71" s="56">
        <v>37</v>
      </c>
      <c r="J71" s="246">
        <f t="shared" si="14"/>
        <v>49.14595517055998</v>
      </c>
      <c r="K71" s="246">
        <f t="shared" si="14"/>
        <v>40.41844893605952</v>
      </c>
      <c r="L71" s="246">
        <f t="shared" si="14"/>
        <v>35.057445450288746</v>
      </c>
      <c r="M71" s="244"/>
      <c r="N71" s="161">
        <v>40</v>
      </c>
      <c r="O71" s="162">
        <v>69.28936241610738</v>
      </c>
      <c r="P71" s="162">
        <v>56.92077181208054</v>
      </c>
      <c r="Q71" s="162">
        <v>49.31513422818792</v>
      </c>
      <c r="R71" s="161">
        <v>40</v>
      </c>
      <c r="S71" s="163">
        <v>50.22151960784314</v>
      </c>
      <c r="T71" s="162">
        <v>41.696813725490195</v>
      </c>
      <c r="U71" s="164">
        <v>36.38455882352941</v>
      </c>
      <c r="AK71" s="9"/>
      <c r="AL71" s="9"/>
      <c r="AM71" s="9"/>
      <c r="AN71" s="9"/>
      <c r="AO71" s="9"/>
      <c r="AP71" s="9"/>
      <c r="AQ71" s="9"/>
      <c r="AR71" s="9"/>
    </row>
    <row r="72" spans="2:44" ht="18" customHeight="1">
      <c r="B72" s="19">
        <v>40</v>
      </c>
      <c r="C72" s="20">
        <v>102</v>
      </c>
      <c r="D72" s="20">
        <v>85</v>
      </c>
      <c r="E72" s="20">
        <v>75</v>
      </c>
      <c r="F72" s="19">
        <v>40</v>
      </c>
      <c r="G72" s="72">
        <v>67</v>
      </c>
      <c r="H72" s="20">
        <v>58</v>
      </c>
      <c r="I72" s="57">
        <v>52</v>
      </c>
      <c r="J72" s="246">
        <f t="shared" si="14"/>
        <v>69.28936241610738</v>
      </c>
      <c r="K72" s="246">
        <f t="shared" si="14"/>
        <v>56.92077181208054</v>
      </c>
      <c r="L72" s="246">
        <f t="shared" si="14"/>
        <v>49.31513422818792</v>
      </c>
      <c r="M72" s="244"/>
      <c r="N72" s="165">
        <v>45</v>
      </c>
      <c r="O72" s="166">
        <v>94.49191666666667</v>
      </c>
      <c r="P72" s="166">
        <v>77.41079166666667</v>
      </c>
      <c r="Q72" s="166">
        <v>66.90795833333333</v>
      </c>
      <c r="R72" s="165">
        <v>45</v>
      </c>
      <c r="S72" s="167">
        <v>74.9376282051282</v>
      </c>
      <c r="T72" s="166">
        <v>62.7025</v>
      </c>
      <c r="U72" s="168">
        <v>54.37153846153846</v>
      </c>
      <c r="AK72" s="9"/>
      <c r="AL72" s="9"/>
      <c r="AM72" s="9"/>
      <c r="AN72" s="9"/>
      <c r="AO72" s="9"/>
      <c r="AP72" s="9"/>
      <c r="AQ72" s="9"/>
      <c r="AR72" s="9"/>
    </row>
    <row r="73" spans="2:44" ht="18" customHeight="1">
      <c r="B73" s="21">
        <v>44</v>
      </c>
      <c r="C73" s="22">
        <v>127</v>
      </c>
      <c r="D73" s="22">
        <v>103</v>
      </c>
      <c r="E73" s="22">
        <v>89</v>
      </c>
      <c r="F73" s="21">
        <v>44</v>
      </c>
      <c r="G73" s="73">
        <v>87</v>
      </c>
      <c r="H73" s="22">
        <v>73</v>
      </c>
      <c r="I73" s="58">
        <v>64</v>
      </c>
      <c r="J73" s="246">
        <f aca="true" t="shared" si="15" ref="J73:L77">IF($B73=N71,O71,(O72-O71)/($N72-$N71)*($B73-$N71)+O71)</f>
        <v>89.45140581655481</v>
      </c>
      <c r="K73" s="246">
        <f t="shared" si="15"/>
        <v>73.31278769574945</v>
      </c>
      <c r="L73" s="246">
        <f t="shared" si="15"/>
        <v>63.389393512304245</v>
      </c>
      <c r="M73" s="244"/>
      <c r="N73" s="169">
        <v>50</v>
      </c>
      <c r="O73" s="170">
        <v>120.96917948717949</v>
      </c>
      <c r="P73" s="170">
        <v>99.26471794871794</v>
      </c>
      <c r="Q73" s="170">
        <v>84.9554358974359</v>
      </c>
      <c r="R73" s="169">
        <v>50</v>
      </c>
      <c r="S73" s="171">
        <v>106.2824060150376</v>
      </c>
      <c r="T73" s="170">
        <v>89.3675939849624</v>
      </c>
      <c r="U73" s="172">
        <v>76.30563909774436</v>
      </c>
      <c r="AK73" s="9"/>
      <c r="AL73" s="9"/>
      <c r="AM73" s="9"/>
      <c r="AN73" s="9"/>
      <c r="AO73" s="9"/>
      <c r="AP73" s="9"/>
      <c r="AQ73" s="9"/>
      <c r="AR73" s="9"/>
    </row>
    <row r="74" spans="2:44" ht="18" customHeight="1">
      <c r="B74" s="23">
        <v>48</v>
      </c>
      <c r="C74" s="24">
        <v>159</v>
      </c>
      <c r="D74" s="24">
        <v>127</v>
      </c>
      <c r="E74" s="24">
        <v>109</v>
      </c>
      <c r="F74" s="23">
        <v>48</v>
      </c>
      <c r="G74" s="74">
        <v>111</v>
      </c>
      <c r="H74" s="24">
        <v>94</v>
      </c>
      <c r="I74" s="59">
        <v>82</v>
      </c>
      <c r="J74" s="246">
        <f t="shared" si="15"/>
        <v>110.37827435897435</v>
      </c>
      <c r="K74" s="246">
        <f t="shared" si="15"/>
        <v>90.52314743589744</v>
      </c>
      <c r="L74" s="246">
        <f t="shared" si="15"/>
        <v>77.73644487179487</v>
      </c>
      <c r="M74" s="244"/>
      <c r="N74" s="173">
        <v>55</v>
      </c>
      <c r="O74" s="174">
        <v>148.38965714285715</v>
      </c>
      <c r="P74" s="174">
        <v>122.1433142857143</v>
      </c>
      <c r="Q74" s="174">
        <v>104.59034285714286</v>
      </c>
      <c r="R74" s="173">
        <v>55</v>
      </c>
      <c r="S74" s="175">
        <v>140.35170940170943</v>
      </c>
      <c r="T74" s="174">
        <v>117.79393162393161</v>
      </c>
      <c r="U74" s="176">
        <v>100.0131623931624</v>
      </c>
      <c r="AK74" s="9"/>
      <c r="AL74" s="9"/>
      <c r="AM74" s="9"/>
      <c r="AN74" s="9"/>
      <c r="AO74" s="9"/>
      <c r="AP74" s="9"/>
      <c r="AQ74" s="9"/>
      <c r="AR74" s="9"/>
    </row>
    <row r="75" spans="2:44" ht="18" customHeight="1" thickBot="1">
      <c r="B75" s="25">
        <v>52</v>
      </c>
      <c r="C75" s="26">
        <v>193</v>
      </c>
      <c r="D75" s="26">
        <v>155</v>
      </c>
      <c r="E75" s="26">
        <v>133</v>
      </c>
      <c r="F75" s="25">
        <v>52</v>
      </c>
      <c r="G75" s="79">
        <v>135</v>
      </c>
      <c r="H75" s="26">
        <v>114</v>
      </c>
      <c r="I75" s="60">
        <v>99</v>
      </c>
      <c r="J75" s="246">
        <f t="shared" si="15"/>
        <v>131.93737054945055</v>
      </c>
      <c r="K75" s="246">
        <f t="shared" si="15"/>
        <v>108.41615648351649</v>
      </c>
      <c r="L75" s="246">
        <f t="shared" si="15"/>
        <v>92.80939868131868</v>
      </c>
      <c r="M75" s="244"/>
      <c r="N75" s="180">
        <v>60</v>
      </c>
      <c r="O75" s="181">
        <v>180.9055625</v>
      </c>
      <c r="P75" s="181">
        <v>149.87825</v>
      </c>
      <c r="Q75" s="181">
        <v>127.476</v>
      </c>
      <c r="R75" s="180">
        <v>60</v>
      </c>
      <c r="S75" s="187">
        <v>176.3821649484536</v>
      </c>
      <c r="T75" s="181">
        <v>147.67422680412372</v>
      </c>
      <c r="U75" s="183">
        <v>123.79154639175259</v>
      </c>
      <c r="AK75" s="9"/>
      <c r="AL75" s="9"/>
      <c r="AM75" s="9"/>
      <c r="AN75" s="9"/>
      <c r="AO75" s="9"/>
      <c r="AP75" s="9"/>
      <c r="AQ75" s="9"/>
      <c r="AR75" s="9"/>
    </row>
    <row r="76" spans="2:21" ht="16.5" customHeight="1">
      <c r="B76" s="23">
        <v>56</v>
      </c>
      <c r="C76" s="24">
        <v>223</v>
      </c>
      <c r="D76" s="24">
        <v>179</v>
      </c>
      <c r="E76" s="24">
        <v>154</v>
      </c>
      <c r="F76" s="23">
        <v>56</v>
      </c>
      <c r="G76" s="74">
        <v>159</v>
      </c>
      <c r="H76" s="24">
        <v>135</v>
      </c>
      <c r="I76" s="59">
        <v>117</v>
      </c>
      <c r="J76" s="246">
        <f t="shared" si="15"/>
        <v>154.89283821428572</v>
      </c>
      <c r="K76" s="246">
        <f t="shared" si="15"/>
        <v>127.69030142857144</v>
      </c>
      <c r="L76" s="246">
        <f t="shared" si="15"/>
        <v>109.16747428571429</v>
      </c>
      <c r="M76" s="244"/>
      <c r="N76" s="173">
        <v>65</v>
      </c>
      <c r="O76" s="174">
        <v>212.31358506944443</v>
      </c>
      <c r="P76" s="174">
        <v>175.9023003472222</v>
      </c>
      <c r="Q76" s="174">
        <v>149.60607638888885</v>
      </c>
      <c r="R76" s="173">
        <v>65</v>
      </c>
      <c r="S76" s="175">
        <v>207.00322164948452</v>
      </c>
      <c r="T76" s="174">
        <v>173.307273768614</v>
      </c>
      <c r="U76" s="176">
        <v>145.28579610538375</v>
      </c>
    </row>
    <row r="77" spans="2:21" ht="18" customHeight="1">
      <c r="B77" s="21">
        <v>60</v>
      </c>
      <c r="C77" s="22">
        <v>249</v>
      </c>
      <c r="D77" s="22">
        <v>200</v>
      </c>
      <c r="E77" s="58">
        <v>172</v>
      </c>
      <c r="F77" s="21">
        <v>60</v>
      </c>
      <c r="G77" s="71">
        <v>185</v>
      </c>
      <c r="H77" s="18">
        <v>156</v>
      </c>
      <c r="I77" s="56">
        <v>135</v>
      </c>
      <c r="J77" s="246">
        <f t="shared" si="15"/>
        <v>180.9055625</v>
      </c>
      <c r="K77" s="246">
        <f t="shared" si="15"/>
        <v>149.87825</v>
      </c>
      <c r="L77" s="246">
        <f t="shared" si="15"/>
        <v>127.476</v>
      </c>
      <c r="M77" s="244"/>
      <c r="N77" s="169">
        <v>70</v>
      </c>
      <c r="O77" s="170">
        <v>246.2335069444445</v>
      </c>
      <c r="P77" s="170">
        <v>204.00503472222226</v>
      </c>
      <c r="Q77" s="172">
        <v>173.50763888888892</v>
      </c>
      <c r="R77" s="169">
        <v>70</v>
      </c>
      <c r="S77" s="163">
        <v>240.0747422680413</v>
      </c>
      <c r="T77" s="162">
        <v>200.99541809851098</v>
      </c>
      <c r="U77" s="164">
        <v>168.49713631156936</v>
      </c>
    </row>
    <row r="78" spans="2:21" ht="18" customHeight="1">
      <c r="B78" s="23">
        <v>64</v>
      </c>
      <c r="C78" s="125">
        <f>7*B78-170.33</f>
        <v>277.66999999999996</v>
      </c>
      <c r="D78" s="125">
        <f aca="true" t="shared" si="16" ref="D78:D85">5.625*B78-137</f>
        <v>223</v>
      </c>
      <c r="E78" s="125">
        <f aca="true" t="shared" si="17" ref="E78:E85">4.875*B78-120</f>
        <v>192</v>
      </c>
      <c r="F78" s="23">
        <v>64</v>
      </c>
      <c r="G78" s="134">
        <f>6.25*F78-190.33</f>
        <v>209.67</v>
      </c>
      <c r="H78" s="128">
        <f aca="true" t="shared" si="18" ref="H78:H85">5.25*F78-159</f>
        <v>177</v>
      </c>
      <c r="I78" s="135">
        <f aca="true" t="shared" si="19" ref="I78:I85">4.5*F78-135</f>
        <v>153</v>
      </c>
      <c r="J78" s="246">
        <f aca="true" t="shared" si="20" ref="J78:L82">IF($B78=$N75,O75,(O76-O75)/($N76-$N75)*($B78-$N75)+O75)</f>
        <v>206.03198055555555</v>
      </c>
      <c r="K78" s="246">
        <f t="shared" si="20"/>
        <v>170.69749027777775</v>
      </c>
      <c r="L78" s="246">
        <f t="shared" si="20"/>
        <v>145.1800611111111</v>
      </c>
      <c r="M78" s="244"/>
      <c r="N78" s="173">
        <v>75</v>
      </c>
      <c r="O78" s="174">
        <v>282.66601562500006</v>
      </c>
      <c r="P78" s="174">
        <v>234.18945312500003</v>
      </c>
      <c r="Q78" s="174">
        <v>199.17968750000006</v>
      </c>
      <c r="R78" s="173">
        <v>75</v>
      </c>
      <c r="S78" s="167">
        <v>275.5960051546392</v>
      </c>
      <c r="T78" s="166">
        <v>230.73453608247434</v>
      </c>
      <c r="U78" s="168">
        <v>193.42783505154645</v>
      </c>
    </row>
    <row r="79" spans="2:21" ht="18" customHeight="1">
      <c r="B79" s="17">
        <v>68</v>
      </c>
      <c r="C79" s="136">
        <f aca="true" t="shared" si="21" ref="C79:C85">7*B79-170.33</f>
        <v>305.66999999999996</v>
      </c>
      <c r="D79" s="136">
        <f t="shared" si="16"/>
        <v>245.5</v>
      </c>
      <c r="E79" s="124">
        <f t="shared" si="17"/>
        <v>211.5</v>
      </c>
      <c r="F79" s="21">
        <v>68</v>
      </c>
      <c r="G79" s="129">
        <f aca="true" t="shared" si="22" ref="G79:G85">6.25*F79-190.33</f>
        <v>234.67</v>
      </c>
      <c r="H79" s="122">
        <f t="shared" si="18"/>
        <v>198</v>
      </c>
      <c r="I79" s="124">
        <f t="shared" si="19"/>
        <v>171</v>
      </c>
      <c r="J79" s="246">
        <f t="shared" si="20"/>
        <v>232.66553819444448</v>
      </c>
      <c r="K79" s="246">
        <f t="shared" si="20"/>
        <v>192.76394097222223</v>
      </c>
      <c r="L79" s="246">
        <f t="shared" si="20"/>
        <v>163.9470138888889</v>
      </c>
      <c r="M79" s="244"/>
      <c r="N79" s="161">
        <v>80</v>
      </c>
      <c r="O79" s="190">
        <v>321.61111111111114</v>
      </c>
      <c r="P79" s="190">
        <v>266.4555555555556</v>
      </c>
      <c r="Q79" s="172">
        <v>226.62222222222223</v>
      </c>
      <c r="R79" s="169">
        <v>80</v>
      </c>
      <c r="S79" s="171">
        <v>313.5670103092784</v>
      </c>
      <c r="T79" s="170">
        <v>262.5246277205041</v>
      </c>
      <c r="U79" s="172">
        <v>220.07789232531502</v>
      </c>
    </row>
    <row r="80" spans="2:21" ht="18" customHeight="1">
      <c r="B80" s="19">
        <v>72</v>
      </c>
      <c r="C80" s="125">
        <f t="shared" si="21"/>
        <v>333.66999999999996</v>
      </c>
      <c r="D80" s="125">
        <f t="shared" si="16"/>
        <v>268</v>
      </c>
      <c r="E80" s="125">
        <f t="shared" si="17"/>
        <v>231</v>
      </c>
      <c r="F80" s="23">
        <v>72</v>
      </c>
      <c r="G80" s="130">
        <f t="shared" si="22"/>
        <v>259.66999999999996</v>
      </c>
      <c r="H80" s="125">
        <f t="shared" si="18"/>
        <v>219</v>
      </c>
      <c r="I80" s="127">
        <f t="shared" si="19"/>
        <v>189</v>
      </c>
      <c r="J80" s="246">
        <f t="shared" si="20"/>
        <v>260.80651041666675</v>
      </c>
      <c r="K80" s="246">
        <f t="shared" si="20"/>
        <v>216.07880208333336</v>
      </c>
      <c r="L80" s="246">
        <f t="shared" si="20"/>
        <v>183.77645833333338</v>
      </c>
      <c r="M80" s="244"/>
      <c r="N80" s="165">
        <v>85</v>
      </c>
      <c r="O80" s="174">
        <v>363.0687934027778</v>
      </c>
      <c r="P80" s="174">
        <v>300.803342013889</v>
      </c>
      <c r="Q80" s="174">
        <v>255.8352430555556</v>
      </c>
      <c r="R80" s="173">
        <v>85</v>
      </c>
      <c r="S80" s="175">
        <v>353.98775773195877</v>
      </c>
      <c r="T80" s="174">
        <v>296.36569301260033</v>
      </c>
      <c r="U80" s="176">
        <v>248.44730813287518</v>
      </c>
    </row>
    <row r="81" spans="2:21" ht="18" customHeight="1">
      <c r="B81" s="17">
        <v>76</v>
      </c>
      <c r="C81" s="136">
        <f t="shared" si="21"/>
        <v>361.66999999999996</v>
      </c>
      <c r="D81" s="136">
        <f t="shared" si="16"/>
        <v>290.5</v>
      </c>
      <c r="E81" s="124">
        <f t="shared" si="17"/>
        <v>250.5</v>
      </c>
      <c r="F81" s="21">
        <v>76</v>
      </c>
      <c r="G81" s="129">
        <f t="shared" si="22"/>
        <v>284.66999999999996</v>
      </c>
      <c r="H81" s="122">
        <f t="shared" si="18"/>
        <v>240</v>
      </c>
      <c r="I81" s="124">
        <f t="shared" si="19"/>
        <v>207</v>
      </c>
      <c r="J81" s="246">
        <f t="shared" si="20"/>
        <v>290.45503472222225</v>
      </c>
      <c r="K81" s="246">
        <f t="shared" si="20"/>
        <v>240.64267361111115</v>
      </c>
      <c r="L81" s="246">
        <f t="shared" si="20"/>
        <v>204.66819444444448</v>
      </c>
      <c r="M81" s="244"/>
      <c r="N81" s="161">
        <v>90</v>
      </c>
      <c r="O81" s="190">
        <v>407.0390625</v>
      </c>
      <c r="P81" s="190">
        <v>337.23281250000014</v>
      </c>
      <c r="Q81" s="172">
        <v>286.81875</v>
      </c>
      <c r="R81" s="169">
        <v>90</v>
      </c>
      <c r="S81" s="171">
        <v>396.8582474226804</v>
      </c>
      <c r="T81" s="170">
        <v>332.257731958763</v>
      </c>
      <c r="U81" s="172">
        <v>278.5360824742268</v>
      </c>
    </row>
    <row r="82" spans="2:21" ht="18" customHeight="1">
      <c r="B82" s="19">
        <v>80</v>
      </c>
      <c r="C82" s="125">
        <f t="shared" si="21"/>
        <v>389.66999999999996</v>
      </c>
      <c r="D82" s="125">
        <f t="shared" si="16"/>
        <v>313</v>
      </c>
      <c r="E82" s="125">
        <f t="shared" si="17"/>
        <v>270</v>
      </c>
      <c r="F82" s="23">
        <v>80</v>
      </c>
      <c r="G82" s="130">
        <f t="shared" si="22"/>
        <v>309.66999999999996</v>
      </c>
      <c r="H82" s="125">
        <f t="shared" si="18"/>
        <v>261</v>
      </c>
      <c r="I82" s="127">
        <f t="shared" si="19"/>
        <v>225</v>
      </c>
      <c r="J82" s="246">
        <f t="shared" si="20"/>
        <v>321.61111111111114</v>
      </c>
      <c r="K82" s="246">
        <f t="shared" si="20"/>
        <v>266.4555555555556</v>
      </c>
      <c r="L82" s="246">
        <f t="shared" si="20"/>
        <v>226.62222222222223</v>
      </c>
      <c r="M82" s="244"/>
      <c r="N82" s="165">
        <v>95</v>
      </c>
      <c r="O82" s="174">
        <v>453.5219184027777</v>
      </c>
      <c r="P82" s="174">
        <v>375.74396701388906</v>
      </c>
      <c r="Q82" s="174">
        <v>319.5727430555555</v>
      </c>
      <c r="R82" s="173">
        <v>95</v>
      </c>
      <c r="S82" s="175">
        <v>442.17847938144314</v>
      </c>
      <c r="T82" s="174">
        <v>370.200744558992</v>
      </c>
      <c r="U82" s="176">
        <v>310.34421534936996</v>
      </c>
    </row>
    <row r="83" spans="2:21" ht="18" customHeight="1">
      <c r="B83" s="17">
        <v>84</v>
      </c>
      <c r="C83" s="136">
        <f t="shared" si="21"/>
        <v>417.66999999999996</v>
      </c>
      <c r="D83" s="136">
        <f t="shared" si="16"/>
        <v>335.5</v>
      </c>
      <c r="E83" s="124">
        <f t="shared" si="17"/>
        <v>289.5</v>
      </c>
      <c r="F83" s="21">
        <v>84</v>
      </c>
      <c r="G83" s="129">
        <f t="shared" si="22"/>
        <v>334.66999999999996</v>
      </c>
      <c r="H83" s="122">
        <f t="shared" si="18"/>
        <v>282</v>
      </c>
      <c r="I83" s="124">
        <f t="shared" si="19"/>
        <v>243</v>
      </c>
      <c r="J83" s="246">
        <f aca="true" t="shared" si="23" ref="J83:L85">IF($B83=$N79,O79,(O80-O79)/($N80-$N79)*($B83-$N79)+O79)</f>
        <v>354.7772569444445</v>
      </c>
      <c r="K83" s="246">
        <f t="shared" si="23"/>
        <v>293.9337847222223</v>
      </c>
      <c r="L83" s="246">
        <f t="shared" si="23"/>
        <v>249.99263888888893</v>
      </c>
      <c r="M83" s="244"/>
      <c r="N83" s="161">
        <v>100</v>
      </c>
      <c r="O83" s="190">
        <v>502.517361111111</v>
      </c>
      <c r="P83" s="190">
        <v>416.3368055555557</v>
      </c>
      <c r="Q83" s="172">
        <v>354.0972222222222</v>
      </c>
      <c r="R83" s="169">
        <v>100</v>
      </c>
      <c r="S83" s="171">
        <v>489.94845360824723</v>
      </c>
      <c r="T83" s="170">
        <v>410.1947308132876</v>
      </c>
      <c r="U83" s="172">
        <v>343.8717067583047</v>
      </c>
    </row>
    <row r="84" spans="2:21" ht="18" customHeight="1">
      <c r="B84" s="19">
        <v>88</v>
      </c>
      <c r="C84" s="125">
        <f t="shared" si="21"/>
        <v>445.66999999999996</v>
      </c>
      <c r="D84" s="125">
        <f t="shared" si="16"/>
        <v>358</v>
      </c>
      <c r="E84" s="125">
        <f t="shared" si="17"/>
        <v>309</v>
      </c>
      <c r="F84" s="23">
        <v>88</v>
      </c>
      <c r="G84" s="130">
        <f t="shared" si="22"/>
        <v>359.66999999999996</v>
      </c>
      <c r="H84" s="125">
        <f t="shared" si="18"/>
        <v>303</v>
      </c>
      <c r="I84" s="127">
        <f t="shared" si="19"/>
        <v>261</v>
      </c>
      <c r="J84" s="246">
        <f t="shared" si="23"/>
        <v>389.45095486111114</v>
      </c>
      <c r="K84" s="246">
        <f t="shared" si="23"/>
        <v>322.66102430555566</v>
      </c>
      <c r="L84" s="246">
        <f t="shared" si="23"/>
        <v>274.42534722222223</v>
      </c>
      <c r="M84" s="244"/>
      <c r="N84" s="165">
        <v>105</v>
      </c>
      <c r="O84" s="174"/>
      <c r="P84" s="174"/>
      <c r="Q84" s="174"/>
      <c r="R84" s="173">
        <v>105</v>
      </c>
      <c r="S84" s="175"/>
      <c r="T84" s="174"/>
      <c r="U84" s="176"/>
    </row>
    <row r="85" spans="2:21" ht="18" customHeight="1" thickBot="1">
      <c r="B85" s="25">
        <v>92</v>
      </c>
      <c r="C85" s="199">
        <f t="shared" si="21"/>
        <v>473.66999999999996</v>
      </c>
      <c r="D85" s="199">
        <f t="shared" si="16"/>
        <v>380.5</v>
      </c>
      <c r="E85" s="141">
        <f t="shared" si="17"/>
        <v>328.5</v>
      </c>
      <c r="F85" s="25">
        <v>92</v>
      </c>
      <c r="G85" s="198">
        <f t="shared" si="22"/>
        <v>384.66999999999996</v>
      </c>
      <c r="H85" s="139">
        <f t="shared" si="18"/>
        <v>324</v>
      </c>
      <c r="I85" s="141">
        <f t="shared" si="19"/>
        <v>279</v>
      </c>
      <c r="J85" s="246">
        <f t="shared" si="23"/>
        <v>425.63220486111106</v>
      </c>
      <c r="K85" s="246">
        <f t="shared" si="23"/>
        <v>352.6372743055557</v>
      </c>
      <c r="L85" s="246">
        <f t="shared" si="23"/>
        <v>299.92034722222223</v>
      </c>
      <c r="M85" s="244"/>
      <c r="N85" s="180">
        <v>110</v>
      </c>
      <c r="O85" s="191"/>
      <c r="P85" s="191"/>
      <c r="Q85" s="183"/>
      <c r="R85" s="180">
        <v>110</v>
      </c>
      <c r="S85" s="187"/>
      <c r="T85" s="181"/>
      <c r="U85" s="183"/>
    </row>
    <row r="86" spans="14:21" ht="18" customHeight="1" thickBot="1">
      <c r="N86" s="184"/>
      <c r="O86" s="184"/>
      <c r="P86" s="184"/>
      <c r="Q86" s="184"/>
      <c r="R86" s="184"/>
      <c r="S86" s="184"/>
      <c r="T86" s="184"/>
      <c r="U86" s="184"/>
    </row>
    <row r="87" spans="2:30" ht="18" customHeight="1">
      <c r="B87" s="5"/>
      <c r="C87" s="6"/>
      <c r="D87" s="7"/>
      <c r="E87" s="7"/>
      <c r="F87" s="5"/>
      <c r="G87" s="7"/>
      <c r="H87" s="7"/>
      <c r="I87" s="52"/>
      <c r="N87" s="142"/>
      <c r="O87" s="143"/>
      <c r="P87" s="145"/>
      <c r="Q87" s="145"/>
      <c r="R87" s="142"/>
      <c r="S87" s="145"/>
      <c r="T87" s="145"/>
      <c r="U87" s="146"/>
      <c r="W87" s="142"/>
      <c r="X87" s="143"/>
      <c r="Y87" s="144"/>
      <c r="Z87" s="146"/>
      <c r="AA87" s="142"/>
      <c r="AB87" s="143"/>
      <c r="AC87" s="144"/>
      <c r="AD87" s="146"/>
    </row>
    <row r="88" spans="2:30" ht="18" customHeight="1">
      <c r="B88" s="10"/>
      <c r="C88" s="91" t="s">
        <v>38</v>
      </c>
      <c r="D88" s="80"/>
      <c r="E88" s="84"/>
      <c r="F88" s="10"/>
      <c r="G88" s="91" t="s">
        <v>22</v>
      </c>
      <c r="H88" s="94"/>
      <c r="I88" s="95"/>
      <c r="J88" s="269" t="s">
        <v>70</v>
      </c>
      <c r="K88" s="270"/>
      <c r="L88" s="270"/>
      <c r="N88" s="147"/>
      <c r="O88" s="192" t="s">
        <v>38</v>
      </c>
      <c r="P88" s="193"/>
      <c r="Q88" s="194"/>
      <c r="R88" s="147"/>
      <c r="S88" s="192" t="s">
        <v>22</v>
      </c>
      <c r="T88" s="195"/>
      <c r="U88" s="196"/>
      <c r="W88" s="147"/>
      <c r="X88" s="148"/>
      <c r="Y88" s="149" t="s">
        <v>28</v>
      </c>
      <c r="Z88" s="150"/>
      <c r="AA88" s="147"/>
      <c r="AB88" s="148"/>
      <c r="AC88" s="149" t="s">
        <v>64</v>
      </c>
      <c r="AD88" s="150"/>
    </row>
    <row r="89" spans="2:30" ht="18" customHeight="1">
      <c r="B89" s="12" t="s">
        <v>4</v>
      </c>
      <c r="C89" s="31" t="s">
        <v>13</v>
      </c>
      <c r="D89" s="31" t="s">
        <v>14</v>
      </c>
      <c r="E89" s="31" t="s">
        <v>15</v>
      </c>
      <c r="F89" s="12" t="s">
        <v>4</v>
      </c>
      <c r="G89" s="69" t="s">
        <v>13</v>
      </c>
      <c r="H89" s="31" t="s">
        <v>14</v>
      </c>
      <c r="I89" s="53" t="s">
        <v>15</v>
      </c>
      <c r="J89" s="245" t="s">
        <v>13</v>
      </c>
      <c r="K89" s="245" t="s">
        <v>14</v>
      </c>
      <c r="L89" s="245" t="s">
        <v>15</v>
      </c>
      <c r="N89" s="151" t="s">
        <v>4</v>
      </c>
      <c r="O89" s="152" t="s">
        <v>13</v>
      </c>
      <c r="P89" s="152" t="s">
        <v>14</v>
      </c>
      <c r="Q89" s="152" t="s">
        <v>15</v>
      </c>
      <c r="R89" s="151" t="s">
        <v>4</v>
      </c>
      <c r="S89" s="197" t="s">
        <v>13</v>
      </c>
      <c r="T89" s="152" t="s">
        <v>14</v>
      </c>
      <c r="U89" s="153" t="s">
        <v>15</v>
      </c>
      <c r="W89" s="151" t="s">
        <v>4</v>
      </c>
      <c r="X89" s="152" t="s">
        <v>13</v>
      </c>
      <c r="Y89" s="152" t="s">
        <v>14</v>
      </c>
      <c r="Z89" s="153" t="s">
        <v>15</v>
      </c>
      <c r="AA89" s="151" t="s">
        <v>4</v>
      </c>
      <c r="AB89" s="152" t="s">
        <v>13</v>
      </c>
      <c r="AC89" s="152" t="s">
        <v>14</v>
      </c>
      <c r="AD89" s="153" t="s">
        <v>15</v>
      </c>
    </row>
    <row r="90" spans="2:30" ht="18" customHeight="1" thickBot="1">
      <c r="B90" s="12" t="s">
        <v>16</v>
      </c>
      <c r="C90" s="13" t="s">
        <v>17</v>
      </c>
      <c r="D90" s="13" t="s">
        <v>17</v>
      </c>
      <c r="E90" s="13" t="s">
        <v>17</v>
      </c>
      <c r="F90" s="68" t="s">
        <v>16</v>
      </c>
      <c r="G90" s="14" t="s">
        <v>17</v>
      </c>
      <c r="H90" s="13" t="s">
        <v>17</v>
      </c>
      <c r="I90" s="54" t="s">
        <v>17</v>
      </c>
      <c r="N90" s="151" t="s">
        <v>16</v>
      </c>
      <c r="O90" s="154" t="s">
        <v>17</v>
      </c>
      <c r="P90" s="154" t="s">
        <v>17</v>
      </c>
      <c r="Q90" s="154" t="s">
        <v>17</v>
      </c>
      <c r="R90" s="189" t="s">
        <v>16</v>
      </c>
      <c r="S90" s="155" t="s">
        <v>17</v>
      </c>
      <c r="T90" s="154" t="s">
        <v>17</v>
      </c>
      <c r="U90" s="156" t="s">
        <v>17</v>
      </c>
      <c r="W90" s="151" t="s">
        <v>16</v>
      </c>
      <c r="X90" s="154" t="s">
        <v>17</v>
      </c>
      <c r="Y90" s="154" t="s">
        <v>17</v>
      </c>
      <c r="Z90" s="156" t="s">
        <v>17</v>
      </c>
      <c r="AA90" s="151" t="s">
        <v>16</v>
      </c>
      <c r="AB90" s="154" t="s">
        <v>17</v>
      </c>
      <c r="AC90" s="154" t="s">
        <v>17</v>
      </c>
      <c r="AD90" s="156" t="s">
        <v>17</v>
      </c>
    </row>
    <row r="91" spans="2:30" ht="18" customHeight="1">
      <c r="B91" s="15">
        <v>8</v>
      </c>
      <c r="C91" s="16">
        <v>0</v>
      </c>
      <c r="D91" s="16">
        <v>0</v>
      </c>
      <c r="E91" s="16">
        <v>0</v>
      </c>
      <c r="F91" s="15">
        <v>8</v>
      </c>
      <c r="G91" s="70">
        <v>0</v>
      </c>
      <c r="H91" s="16">
        <v>0</v>
      </c>
      <c r="I91" s="55">
        <v>0</v>
      </c>
      <c r="N91" s="157">
        <v>5</v>
      </c>
      <c r="O91" s="158">
        <v>0</v>
      </c>
      <c r="P91" s="158">
        <v>0</v>
      </c>
      <c r="Q91" s="158">
        <v>0</v>
      </c>
      <c r="R91" s="157">
        <v>5</v>
      </c>
      <c r="S91" s="159">
        <v>0</v>
      </c>
      <c r="T91" s="158">
        <v>0</v>
      </c>
      <c r="U91" s="160">
        <v>0</v>
      </c>
      <c r="W91" s="157">
        <v>20</v>
      </c>
      <c r="X91" s="200">
        <f>+C94/O94</f>
        <v>1.3116621812591518</v>
      </c>
      <c r="Y91" s="200">
        <f>+D94/P94</f>
        <v>1.2568053631159815</v>
      </c>
      <c r="Z91" s="201">
        <f>+E94/Q94</f>
        <v>1.4385415943569013</v>
      </c>
      <c r="AA91" s="157">
        <v>20</v>
      </c>
      <c r="AB91" s="200">
        <f>+G94/S94</f>
        <v>0.9477550053311218</v>
      </c>
      <c r="AC91" s="200">
        <f>+H94/T94</f>
        <v>1.1746136622251588</v>
      </c>
      <c r="AD91" s="201">
        <f>+I94/U94</f>
        <v>0.9307295885830503</v>
      </c>
    </row>
    <row r="92" spans="2:30" ht="18" customHeight="1">
      <c r="B92" s="17">
        <v>12</v>
      </c>
      <c r="C92" s="18">
        <v>0</v>
      </c>
      <c r="D92" s="18">
        <v>0</v>
      </c>
      <c r="E92" s="18">
        <v>0</v>
      </c>
      <c r="F92" s="17">
        <v>12</v>
      </c>
      <c r="G92" s="71">
        <v>0</v>
      </c>
      <c r="H92" s="18">
        <v>0</v>
      </c>
      <c r="I92" s="56">
        <v>0</v>
      </c>
      <c r="J92" s="246">
        <f aca="true" t="shared" si="24" ref="J92:L94">IF($B92=$N92,O92,(O93-O92)/($N93-$N92)*($B92-$N92)+O92)</f>
        <v>0.13627844311377246</v>
      </c>
      <c r="K92" s="246">
        <f t="shared" si="24"/>
        <v>0.06991616766467065</v>
      </c>
      <c r="L92" s="246">
        <f t="shared" si="24"/>
        <v>0.06358083832335329</v>
      </c>
      <c r="M92" s="244"/>
      <c r="N92" s="161">
        <v>10</v>
      </c>
      <c r="O92" s="162">
        <v>0</v>
      </c>
      <c r="P92" s="162">
        <v>0</v>
      </c>
      <c r="Q92" s="162">
        <v>0</v>
      </c>
      <c r="R92" s="161">
        <v>10</v>
      </c>
      <c r="S92" s="163">
        <v>0.13878865979381444</v>
      </c>
      <c r="T92" s="162">
        <v>0.053930412371134016</v>
      </c>
      <c r="U92" s="164">
        <v>0.053930412371134016</v>
      </c>
      <c r="W92" s="161">
        <v>40</v>
      </c>
      <c r="X92" s="202">
        <f>+C99/O98</f>
        <v>1.2332393210492079</v>
      </c>
      <c r="Y92" s="202">
        <f>+D99/P98</f>
        <v>1.2382953336964697</v>
      </c>
      <c r="Z92" s="203">
        <f>+E99/Q98</f>
        <v>1.292189727625628</v>
      </c>
      <c r="AA92" s="161">
        <v>40</v>
      </c>
      <c r="AB92" s="202">
        <f>+G99/S98</f>
        <v>1.12892786258475</v>
      </c>
      <c r="AC92" s="202">
        <f>+H99/T98</f>
        <v>1.1440663899002093</v>
      </c>
      <c r="AD92" s="203">
        <f>+I99/U98</f>
        <v>1.119285867979541</v>
      </c>
    </row>
    <row r="93" spans="2:30" ht="18" customHeight="1">
      <c r="B93" s="19">
        <v>16</v>
      </c>
      <c r="C93" s="20">
        <v>1</v>
      </c>
      <c r="D93" s="20">
        <v>1</v>
      </c>
      <c r="E93" s="20">
        <v>1</v>
      </c>
      <c r="F93" s="19">
        <v>16</v>
      </c>
      <c r="G93" s="72">
        <v>1</v>
      </c>
      <c r="H93" s="20">
        <v>1</v>
      </c>
      <c r="I93" s="57">
        <v>1</v>
      </c>
      <c r="J93" s="246">
        <f t="shared" si="24"/>
        <v>0.8824700265393489</v>
      </c>
      <c r="K93" s="246">
        <f t="shared" si="24"/>
        <v>0.6172332261979383</v>
      </c>
      <c r="L93" s="246">
        <f t="shared" si="24"/>
        <v>0.5442507635063948</v>
      </c>
      <c r="M93" s="244"/>
      <c r="N93" s="165">
        <v>15</v>
      </c>
      <c r="O93" s="166">
        <v>0.34069610778443116</v>
      </c>
      <c r="P93" s="166">
        <v>0.17479041916167665</v>
      </c>
      <c r="Q93" s="166">
        <v>0.15895209580838324</v>
      </c>
      <c r="R93" s="165">
        <v>15</v>
      </c>
      <c r="S93" s="167">
        <v>1.0858777292576418</v>
      </c>
      <c r="T93" s="166">
        <v>0.7434061135371179</v>
      </c>
      <c r="U93" s="168">
        <v>0.733528384279476</v>
      </c>
      <c r="W93" s="165">
        <v>60</v>
      </c>
      <c r="X93" s="204">
        <f>+C104/O102</f>
        <v>1.2301279899741826</v>
      </c>
      <c r="Y93" s="204">
        <f>+D104/P102</f>
        <v>1.197991367806644</v>
      </c>
      <c r="Z93" s="205">
        <f>+E104/Q102</f>
        <v>1.234940585636269</v>
      </c>
      <c r="AA93" s="165">
        <v>60</v>
      </c>
      <c r="AB93" s="204">
        <f>+G104/S102</f>
        <v>1.1301109660974369</v>
      </c>
      <c r="AC93" s="204">
        <f>+H104/T102</f>
        <v>1.151198588674807</v>
      </c>
      <c r="AD93" s="205">
        <f>+I104/U102</f>
        <v>1.1541088094696106</v>
      </c>
    </row>
    <row r="94" spans="2:30" ht="18" customHeight="1" thickBot="1">
      <c r="B94" s="17">
        <v>20</v>
      </c>
      <c r="C94" s="18">
        <v>4</v>
      </c>
      <c r="D94" s="18">
        <v>3</v>
      </c>
      <c r="E94" s="18">
        <v>3</v>
      </c>
      <c r="F94" s="17">
        <v>20</v>
      </c>
      <c r="G94" s="71">
        <v>4</v>
      </c>
      <c r="H94" s="18">
        <v>4</v>
      </c>
      <c r="I94" s="56">
        <v>3</v>
      </c>
      <c r="J94" s="246">
        <f t="shared" si="24"/>
        <v>3.04956570155902</v>
      </c>
      <c r="K94" s="246">
        <f t="shared" si="24"/>
        <v>2.3870044543429847</v>
      </c>
      <c r="L94" s="246">
        <f t="shared" si="24"/>
        <v>2.085445434298441</v>
      </c>
      <c r="M94" s="244"/>
      <c r="N94" s="161">
        <v>20</v>
      </c>
      <c r="O94" s="162">
        <v>3.04956570155902</v>
      </c>
      <c r="P94" s="162">
        <v>2.3870044543429847</v>
      </c>
      <c r="Q94" s="162">
        <v>2.085445434298441</v>
      </c>
      <c r="R94" s="161">
        <v>20</v>
      </c>
      <c r="S94" s="163">
        <v>4.2205</v>
      </c>
      <c r="T94" s="162">
        <v>3.405375</v>
      </c>
      <c r="U94" s="164">
        <v>3.223277777777778</v>
      </c>
      <c r="W94" s="180">
        <v>80</v>
      </c>
      <c r="X94" s="206">
        <f>+C109/O106</f>
        <v>1.4653032575056628</v>
      </c>
      <c r="Y94" s="206">
        <f>+D109/P106</f>
        <v>1.426361480865224</v>
      </c>
      <c r="Z94" s="207">
        <f>+E109/Q106</f>
        <v>1.473313858518099</v>
      </c>
      <c r="AA94" s="180">
        <v>80</v>
      </c>
      <c r="AB94" s="206">
        <f>+G109/S106</f>
        <v>1.1771075080422797</v>
      </c>
      <c r="AC94" s="206">
        <f>+H109/T106</f>
        <v>1.2057092288534266</v>
      </c>
      <c r="AD94" s="207">
        <f>+I109/U106</f>
        <v>1.1984976098338262</v>
      </c>
    </row>
    <row r="95" spans="2:21" ht="18" customHeight="1">
      <c r="B95" s="19">
        <v>24</v>
      </c>
      <c r="C95" s="20">
        <v>12</v>
      </c>
      <c r="D95" s="20">
        <v>10</v>
      </c>
      <c r="E95" s="20">
        <v>9</v>
      </c>
      <c r="F95" s="19">
        <v>24</v>
      </c>
      <c r="G95" s="72">
        <v>11</v>
      </c>
      <c r="H95" s="20">
        <v>9</v>
      </c>
      <c r="I95" s="57">
        <v>8</v>
      </c>
      <c r="J95" s="246">
        <f aca="true" t="shared" si="25" ref="J95:L99">IF($B95=$N94,O94,(O95-O94)/($N95-$N94)*($B95-$N94)+O94)</f>
        <v>8.928561027635748</v>
      </c>
      <c r="K95" s="246">
        <f t="shared" si="25"/>
        <v>7.142565210117423</v>
      </c>
      <c r="L95" s="246">
        <f t="shared" si="25"/>
        <v>6.001414595466887</v>
      </c>
      <c r="M95" s="244"/>
      <c r="N95" s="165">
        <v>25</v>
      </c>
      <c r="O95" s="166">
        <v>10.39830985915493</v>
      </c>
      <c r="P95" s="166">
        <v>8.331455399061033</v>
      </c>
      <c r="Q95" s="166">
        <v>6.980406885758998</v>
      </c>
      <c r="R95" s="165">
        <v>25</v>
      </c>
      <c r="S95" s="167">
        <v>12.924373716632443</v>
      </c>
      <c r="T95" s="166">
        <v>10.764517453798767</v>
      </c>
      <c r="U95" s="168">
        <v>9.683429158110883</v>
      </c>
    </row>
    <row r="96" spans="2:21" ht="18" customHeight="1">
      <c r="B96" s="21">
        <v>28</v>
      </c>
      <c r="C96" s="22">
        <v>21</v>
      </c>
      <c r="D96" s="22">
        <v>18</v>
      </c>
      <c r="E96" s="22">
        <v>16</v>
      </c>
      <c r="F96" s="21">
        <v>28</v>
      </c>
      <c r="G96" s="73">
        <v>22</v>
      </c>
      <c r="H96" s="22">
        <v>18</v>
      </c>
      <c r="I96" s="58">
        <v>15</v>
      </c>
      <c r="J96" s="246">
        <f t="shared" si="25"/>
        <v>17.674588830725625</v>
      </c>
      <c r="K96" s="246">
        <f t="shared" si="25"/>
        <v>14.315058545661374</v>
      </c>
      <c r="L96" s="246">
        <f t="shared" si="25"/>
        <v>11.934881440135221</v>
      </c>
      <c r="M96" s="244"/>
      <c r="N96" s="169">
        <v>30</v>
      </c>
      <c r="O96" s="170">
        <v>22.525441478439422</v>
      </c>
      <c r="P96" s="170">
        <v>18.304127310061602</v>
      </c>
      <c r="Q96" s="170">
        <v>15.237864476386036</v>
      </c>
      <c r="R96" s="169">
        <v>30</v>
      </c>
      <c r="S96" s="171">
        <v>25.945233918128658</v>
      </c>
      <c r="T96" s="170">
        <v>21.574736842105263</v>
      </c>
      <c r="U96" s="172">
        <v>18.888976608187132</v>
      </c>
    </row>
    <row r="97" spans="2:21" ht="18" customHeight="1">
      <c r="B97" s="23">
        <v>32</v>
      </c>
      <c r="C97" s="24">
        <v>35</v>
      </c>
      <c r="D97" s="24">
        <v>30</v>
      </c>
      <c r="E97" s="24">
        <v>26</v>
      </c>
      <c r="F97" s="23">
        <v>32</v>
      </c>
      <c r="G97" s="74">
        <v>36</v>
      </c>
      <c r="H97" s="24">
        <v>30</v>
      </c>
      <c r="I97" s="59">
        <v>26</v>
      </c>
      <c r="J97" s="246">
        <f t="shared" si="25"/>
        <v>29.010739952680453</v>
      </c>
      <c r="K97" s="246">
        <f t="shared" si="25"/>
        <v>23.86416667475087</v>
      </c>
      <c r="L97" s="246">
        <f t="shared" si="25"/>
        <v>19.99042472257703</v>
      </c>
      <c r="M97" s="244"/>
      <c r="N97" s="173">
        <v>35</v>
      </c>
      <c r="O97" s="174">
        <v>38.738687664042</v>
      </c>
      <c r="P97" s="174">
        <v>32.20422572178477</v>
      </c>
      <c r="Q97" s="174">
        <v>27.119265091863518</v>
      </c>
      <c r="R97" s="173">
        <v>35</v>
      </c>
      <c r="S97" s="175">
        <v>42.417657992565054</v>
      </c>
      <c r="T97" s="174">
        <v>35.380966542750926</v>
      </c>
      <c r="U97" s="176">
        <v>30.745167286245355</v>
      </c>
    </row>
    <row r="98" spans="2:21" ht="18" customHeight="1">
      <c r="B98" s="17">
        <v>36</v>
      </c>
      <c r="C98" s="18">
        <v>52</v>
      </c>
      <c r="D98" s="18">
        <v>44</v>
      </c>
      <c r="E98" s="18">
        <v>39</v>
      </c>
      <c r="F98" s="17">
        <v>36</v>
      </c>
      <c r="G98" s="71">
        <v>54</v>
      </c>
      <c r="H98" s="18">
        <v>45</v>
      </c>
      <c r="I98" s="56">
        <v>38</v>
      </c>
      <c r="J98" s="246">
        <f t="shared" si="25"/>
        <v>42.82969039097386</v>
      </c>
      <c r="K98" s="246">
        <f t="shared" si="25"/>
        <v>35.77714681119405</v>
      </c>
      <c r="L98" s="246">
        <f t="shared" si="25"/>
        <v>30.208093891672632</v>
      </c>
      <c r="M98" s="244"/>
      <c r="N98" s="161">
        <v>40</v>
      </c>
      <c r="O98" s="162">
        <v>59.1937012987013</v>
      </c>
      <c r="P98" s="162">
        <v>50.068831168831174</v>
      </c>
      <c r="Q98" s="162">
        <v>42.56340909090909</v>
      </c>
      <c r="R98" s="161">
        <v>40</v>
      </c>
      <c r="S98" s="163">
        <v>66.43471428571429</v>
      </c>
      <c r="T98" s="162">
        <v>55.94080952380952</v>
      </c>
      <c r="U98" s="164">
        <v>48.24504761904762</v>
      </c>
    </row>
    <row r="99" spans="2:21" ht="18" customHeight="1">
      <c r="B99" s="19">
        <v>40</v>
      </c>
      <c r="C99" s="20">
        <v>73</v>
      </c>
      <c r="D99" s="20">
        <v>62</v>
      </c>
      <c r="E99" s="20">
        <v>55</v>
      </c>
      <c r="F99" s="19">
        <v>40</v>
      </c>
      <c r="G99" s="72">
        <v>75</v>
      </c>
      <c r="H99" s="20">
        <v>64</v>
      </c>
      <c r="I99" s="57">
        <v>54</v>
      </c>
      <c r="J99" s="246">
        <f t="shared" si="25"/>
        <v>59.1937012987013</v>
      </c>
      <c r="K99" s="246">
        <f t="shared" si="25"/>
        <v>50.068831168831174</v>
      </c>
      <c r="L99" s="246">
        <f t="shared" si="25"/>
        <v>42.56340909090909</v>
      </c>
      <c r="M99" s="244"/>
      <c r="N99" s="165">
        <v>45</v>
      </c>
      <c r="O99" s="166">
        <v>83.71890196078431</v>
      </c>
      <c r="P99" s="166">
        <v>71.53541176470588</v>
      </c>
      <c r="Q99" s="166">
        <v>61.07764705882353</v>
      </c>
      <c r="R99" s="165">
        <v>45</v>
      </c>
      <c r="S99" s="167">
        <v>97.98542168674699</v>
      </c>
      <c r="T99" s="166">
        <v>82.57132530120482</v>
      </c>
      <c r="U99" s="168">
        <v>70.51584337349396</v>
      </c>
    </row>
    <row r="100" spans="2:21" s="30" customFormat="1" ht="18" customHeight="1">
      <c r="B100" s="21">
        <v>44</v>
      </c>
      <c r="C100" s="22">
        <v>94</v>
      </c>
      <c r="D100" s="22">
        <v>78</v>
      </c>
      <c r="E100" s="22">
        <v>68</v>
      </c>
      <c r="F100" s="21">
        <v>44</v>
      </c>
      <c r="G100" s="73">
        <v>100</v>
      </c>
      <c r="H100" s="22">
        <v>84</v>
      </c>
      <c r="I100" s="58">
        <v>68</v>
      </c>
      <c r="J100" s="246">
        <f aca="true" t="shared" si="26" ref="J100:L104">IF($B100=N98,O98,(O99-O98)/($N99-$N98)*($B100-$N98)+O98)</f>
        <v>78.8138618283677</v>
      </c>
      <c r="K100" s="246">
        <f t="shared" si="26"/>
        <v>67.24209564553094</v>
      </c>
      <c r="L100" s="246">
        <f t="shared" si="26"/>
        <v>57.37479946524064</v>
      </c>
      <c r="M100" s="244"/>
      <c r="N100" s="169">
        <v>50</v>
      </c>
      <c r="O100" s="170">
        <v>114.52570093457943</v>
      </c>
      <c r="P100" s="170">
        <v>98.47406542056075</v>
      </c>
      <c r="Q100" s="170">
        <v>84.12467289719626</v>
      </c>
      <c r="R100" s="169">
        <v>50</v>
      </c>
      <c r="S100" s="171">
        <v>124.35369863013699</v>
      </c>
      <c r="T100" s="170">
        <v>104.70171232876713</v>
      </c>
      <c r="U100" s="172">
        <v>87.68205479452055</v>
      </c>
    </row>
    <row r="101" spans="2:21" ht="18" customHeight="1">
      <c r="B101" s="23">
        <v>48</v>
      </c>
      <c r="C101" s="24">
        <v>122</v>
      </c>
      <c r="D101" s="24">
        <v>101</v>
      </c>
      <c r="E101" s="24">
        <v>87</v>
      </c>
      <c r="F101" s="23">
        <v>48</v>
      </c>
      <c r="G101" s="74">
        <v>130</v>
      </c>
      <c r="H101" s="24">
        <v>110</v>
      </c>
      <c r="I101" s="59">
        <v>89</v>
      </c>
      <c r="J101" s="246">
        <f t="shared" si="26"/>
        <v>102.20298134506137</v>
      </c>
      <c r="K101" s="246">
        <f t="shared" si="26"/>
        <v>87.6986039582188</v>
      </c>
      <c r="L101" s="246">
        <f t="shared" si="26"/>
        <v>74.90586256184717</v>
      </c>
      <c r="M101" s="244"/>
      <c r="N101" s="173">
        <v>55</v>
      </c>
      <c r="O101" s="174">
        <v>150.84760869565216</v>
      </c>
      <c r="P101" s="174">
        <v>130.00315217391307</v>
      </c>
      <c r="Q101" s="174">
        <v>110.79983695652173</v>
      </c>
      <c r="R101" s="173">
        <v>55</v>
      </c>
      <c r="S101" s="175">
        <v>158.53620437956204</v>
      </c>
      <c r="T101" s="174">
        <v>132.60226277372263</v>
      </c>
      <c r="U101" s="176">
        <v>109.73459854014598</v>
      </c>
    </row>
    <row r="102" spans="2:21" ht="18" customHeight="1" thickBot="1">
      <c r="B102" s="25">
        <v>52</v>
      </c>
      <c r="C102" s="26">
        <v>157</v>
      </c>
      <c r="D102" s="26">
        <v>131</v>
      </c>
      <c r="E102" s="26">
        <v>113</v>
      </c>
      <c r="F102" s="25">
        <v>52</v>
      </c>
      <c r="G102" s="79">
        <v>158</v>
      </c>
      <c r="H102" s="26">
        <v>134</v>
      </c>
      <c r="I102" s="60">
        <v>109</v>
      </c>
      <c r="J102" s="246">
        <f t="shared" si="26"/>
        <v>129.0544640390085</v>
      </c>
      <c r="K102" s="246">
        <f t="shared" si="26"/>
        <v>111.08570012190168</v>
      </c>
      <c r="L102" s="246">
        <f t="shared" si="26"/>
        <v>94.79473852092644</v>
      </c>
      <c r="M102" s="244"/>
      <c r="N102" s="180">
        <v>60</v>
      </c>
      <c r="O102" s="181">
        <v>193.4758024691358</v>
      </c>
      <c r="P102" s="181">
        <v>166.94611111111112</v>
      </c>
      <c r="Q102" s="181">
        <v>141.7072222222222</v>
      </c>
      <c r="R102" s="180">
        <v>60</v>
      </c>
      <c r="S102" s="187">
        <v>200.86523076923078</v>
      </c>
      <c r="T102" s="181">
        <v>166.78269230769232</v>
      </c>
      <c r="U102" s="183">
        <v>135.16923076923078</v>
      </c>
    </row>
    <row r="103" spans="2:21" ht="18" customHeight="1">
      <c r="B103" s="23">
        <v>56</v>
      </c>
      <c r="C103" s="24">
        <v>196</v>
      </c>
      <c r="D103" s="24">
        <v>164</v>
      </c>
      <c r="E103" s="24">
        <v>143</v>
      </c>
      <c r="F103" s="23">
        <v>56</v>
      </c>
      <c r="G103" s="74">
        <v>194</v>
      </c>
      <c r="H103" s="24">
        <v>164</v>
      </c>
      <c r="I103" s="59">
        <v>133</v>
      </c>
      <c r="J103" s="246">
        <f t="shared" si="26"/>
        <v>159.37324745034888</v>
      </c>
      <c r="K103" s="246">
        <f t="shared" si="26"/>
        <v>137.3917439613527</v>
      </c>
      <c r="L103" s="246">
        <f t="shared" si="26"/>
        <v>116.98131400966183</v>
      </c>
      <c r="M103" s="244"/>
      <c r="N103" s="173">
        <v>65</v>
      </c>
      <c r="O103" s="174">
        <v>227.06477194787382</v>
      </c>
      <c r="P103" s="174">
        <v>195.9278549382716</v>
      </c>
      <c r="Q103" s="174">
        <v>166.3122856652949</v>
      </c>
      <c r="R103" s="173">
        <v>65</v>
      </c>
      <c r="S103" s="175">
        <v>235.73333333333335</v>
      </c>
      <c r="T103" s="174">
        <v>195.74027777777775</v>
      </c>
      <c r="U103" s="176">
        <v>158.63611111111115</v>
      </c>
    </row>
    <row r="104" spans="2:21" ht="18" customHeight="1">
      <c r="B104" s="21">
        <v>60</v>
      </c>
      <c r="C104" s="22">
        <v>238</v>
      </c>
      <c r="D104" s="22">
        <v>200</v>
      </c>
      <c r="E104" s="22">
        <v>175</v>
      </c>
      <c r="F104" s="21">
        <v>60</v>
      </c>
      <c r="G104" s="73">
        <v>227</v>
      </c>
      <c r="H104" s="22">
        <v>192</v>
      </c>
      <c r="I104" s="58">
        <v>156</v>
      </c>
      <c r="J104" s="246">
        <f t="shared" si="26"/>
        <v>193.4758024691358</v>
      </c>
      <c r="K104" s="246">
        <f t="shared" si="26"/>
        <v>166.94611111111112</v>
      </c>
      <c r="L104" s="246">
        <f t="shared" si="26"/>
        <v>141.7072222222222</v>
      </c>
      <c r="M104" s="244"/>
      <c r="N104" s="169">
        <v>70</v>
      </c>
      <c r="O104" s="170">
        <v>263.3413923182443</v>
      </c>
      <c r="P104" s="170">
        <v>227.229938271605</v>
      </c>
      <c r="Q104" s="170">
        <v>192.88288751714677</v>
      </c>
      <c r="R104" s="169">
        <v>70</v>
      </c>
      <c r="S104" s="171">
        <v>273.39487179487185</v>
      </c>
      <c r="T104" s="170">
        <v>227.01239316239318</v>
      </c>
      <c r="U104" s="172">
        <v>183.98034188034197</v>
      </c>
    </row>
    <row r="105" spans="2:21" ht="18" customHeight="1">
      <c r="B105" s="23">
        <v>64</v>
      </c>
      <c r="C105" s="24">
        <v>285</v>
      </c>
      <c r="D105" s="24">
        <v>240</v>
      </c>
      <c r="E105" s="24">
        <v>210</v>
      </c>
      <c r="F105" s="23">
        <v>64</v>
      </c>
      <c r="G105" s="74">
        <v>270</v>
      </c>
      <c r="H105" s="24">
        <v>229</v>
      </c>
      <c r="I105" s="59">
        <v>185</v>
      </c>
      <c r="J105" s="246">
        <f aca="true" t="shared" si="27" ref="J105:L109">IF($B105=$N102,O102,(O103-O102)/($N103-$N102)*($B105-$N102)+O102)</f>
        <v>220.34697805212622</v>
      </c>
      <c r="K105" s="246">
        <f t="shared" si="27"/>
        <v>190.1315061728395</v>
      </c>
      <c r="L105" s="246">
        <f t="shared" si="27"/>
        <v>161.39127297668037</v>
      </c>
      <c r="M105" s="244"/>
      <c r="N105" s="173">
        <v>75</v>
      </c>
      <c r="O105" s="174">
        <v>302.30516975308655</v>
      </c>
      <c r="P105" s="174">
        <v>260.85069444444457</v>
      </c>
      <c r="Q105" s="174">
        <v>221.42168209876544</v>
      </c>
      <c r="R105" s="173">
        <v>75</v>
      </c>
      <c r="S105" s="175">
        <v>313.84615384615387</v>
      </c>
      <c r="T105" s="174">
        <v>260.6009615384616</v>
      </c>
      <c r="U105" s="176">
        <v>211.20192307692318</v>
      </c>
    </row>
    <row r="106" spans="2:21" ht="18" customHeight="1">
      <c r="B106" s="21">
        <v>68</v>
      </c>
      <c r="C106" s="22">
        <v>337</v>
      </c>
      <c r="D106" s="22">
        <v>284</v>
      </c>
      <c r="E106" s="22">
        <v>248</v>
      </c>
      <c r="F106" s="21">
        <v>68</v>
      </c>
      <c r="G106" s="129">
        <f>9.5*F106-339.67</f>
        <v>306.33</v>
      </c>
      <c r="H106" s="122">
        <f>8.125*F106-292.5</f>
        <v>260</v>
      </c>
      <c r="I106" s="124">
        <f>6.5*F106-232</f>
        <v>210</v>
      </c>
      <c r="J106" s="246">
        <f t="shared" si="27"/>
        <v>248.8307441700961</v>
      </c>
      <c r="K106" s="246">
        <f t="shared" si="27"/>
        <v>214.70910493827165</v>
      </c>
      <c r="L106" s="246">
        <f t="shared" si="27"/>
        <v>182.25464677640602</v>
      </c>
      <c r="M106" s="244"/>
      <c r="N106" s="169">
        <v>80</v>
      </c>
      <c r="O106" s="170">
        <v>343.9561042524006</v>
      </c>
      <c r="P106" s="170">
        <v>296.79012345679024</v>
      </c>
      <c r="Q106" s="170">
        <v>251.92866941015092</v>
      </c>
      <c r="R106" s="169">
        <v>80</v>
      </c>
      <c r="S106" s="171">
        <v>357.0871794871794</v>
      </c>
      <c r="T106" s="170">
        <v>296.505982905983</v>
      </c>
      <c r="U106" s="172">
        <v>240.30085470085476</v>
      </c>
    </row>
    <row r="107" spans="2:21" ht="18" customHeight="1">
      <c r="B107" s="23">
        <v>72</v>
      </c>
      <c r="C107" s="24">
        <v>395</v>
      </c>
      <c r="D107" s="24">
        <v>332</v>
      </c>
      <c r="E107" s="24">
        <v>291</v>
      </c>
      <c r="F107" s="23">
        <v>72</v>
      </c>
      <c r="G107" s="130">
        <f aca="true" t="shared" si="28" ref="G107:G112">9.5*F107-339.67</f>
        <v>344.33</v>
      </c>
      <c r="H107" s="125">
        <f aca="true" t="shared" si="29" ref="H107:H112">8.125*F107-292.5</f>
        <v>292.5</v>
      </c>
      <c r="I107" s="127">
        <f aca="true" t="shared" si="30" ref="I107:I112">6.5*F107-232</f>
        <v>236</v>
      </c>
      <c r="J107" s="246">
        <f t="shared" si="27"/>
        <v>278.9269032921812</v>
      </c>
      <c r="K107" s="246">
        <f t="shared" si="27"/>
        <v>240.67824074074082</v>
      </c>
      <c r="L107" s="246">
        <f t="shared" si="27"/>
        <v>204.29840534979425</v>
      </c>
      <c r="M107" s="244"/>
      <c r="N107" s="173">
        <v>85</v>
      </c>
      <c r="O107" s="174">
        <v>388.2941958161866</v>
      </c>
      <c r="P107" s="174">
        <v>335.04822530864215</v>
      </c>
      <c r="Q107" s="174">
        <v>284.4038494513032</v>
      </c>
      <c r="R107" s="173">
        <v>85</v>
      </c>
      <c r="S107" s="175">
        <v>403.1179487179486</v>
      </c>
      <c r="T107" s="174">
        <v>334.7274572649574</v>
      </c>
      <c r="U107" s="176">
        <v>271.2771367521368</v>
      </c>
    </row>
    <row r="108" spans="2:21" ht="18" customHeight="1">
      <c r="B108" s="21">
        <v>76</v>
      </c>
      <c r="C108" s="122">
        <f>13.75*B108-596</f>
        <v>449</v>
      </c>
      <c r="D108" s="122">
        <f>11.5*B108-496.67</f>
        <v>377.33</v>
      </c>
      <c r="E108" s="122">
        <f>10.125*B108-438.83</f>
        <v>330.67</v>
      </c>
      <c r="F108" s="21">
        <v>76</v>
      </c>
      <c r="G108" s="129">
        <f t="shared" si="28"/>
        <v>382.33</v>
      </c>
      <c r="H108" s="122">
        <f t="shared" si="29"/>
        <v>325</v>
      </c>
      <c r="I108" s="124">
        <f t="shared" si="30"/>
        <v>262</v>
      </c>
      <c r="J108" s="246">
        <f t="shared" si="27"/>
        <v>310.6353566529494</v>
      </c>
      <c r="K108" s="246">
        <f t="shared" si="27"/>
        <v>268.0385802469137</v>
      </c>
      <c r="L108" s="246">
        <f t="shared" si="27"/>
        <v>227.52307956104255</v>
      </c>
      <c r="M108" s="244"/>
      <c r="N108" s="169">
        <v>90</v>
      </c>
      <c r="O108" s="170">
        <v>435.3194444444444</v>
      </c>
      <c r="P108" s="170">
        <v>375.6250000000001</v>
      </c>
      <c r="Q108" s="170">
        <v>318.84722222222223</v>
      </c>
      <c r="R108" s="169">
        <v>90</v>
      </c>
      <c r="S108" s="171">
        <v>451.93846153846135</v>
      </c>
      <c r="T108" s="170">
        <v>375.26538461538473</v>
      </c>
      <c r="U108" s="172">
        <v>304.1307692307693</v>
      </c>
    </row>
    <row r="109" spans="2:21" ht="18" customHeight="1">
      <c r="B109" s="23">
        <v>80</v>
      </c>
      <c r="C109" s="125">
        <f>13.75*B109-596</f>
        <v>504</v>
      </c>
      <c r="D109" s="125">
        <f>11.5*B109-496.67</f>
        <v>423.33</v>
      </c>
      <c r="E109" s="125">
        <f>10.125*B109-438.83</f>
        <v>371.17</v>
      </c>
      <c r="F109" s="23">
        <v>80</v>
      </c>
      <c r="G109" s="130">
        <f t="shared" si="28"/>
        <v>420.33</v>
      </c>
      <c r="H109" s="125">
        <f t="shared" si="29"/>
        <v>357.5</v>
      </c>
      <c r="I109" s="127">
        <f t="shared" si="30"/>
        <v>288</v>
      </c>
      <c r="J109" s="246">
        <f t="shared" si="27"/>
        <v>343.9561042524006</v>
      </c>
      <c r="K109" s="246">
        <f t="shared" si="27"/>
        <v>296.79012345679024</v>
      </c>
      <c r="L109" s="246">
        <f t="shared" si="27"/>
        <v>251.92866941015092</v>
      </c>
      <c r="M109" s="244"/>
      <c r="N109" s="173">
        <v>95</v>
      </c>
      <c r="O109" s="174">
        <v>485.03185013717405</v>
      </c>
      <c r="P109" s="174">
        <v>418.52044753086426</v>
      </c>
      <c r="Q109" s="174">
        <v>355.258787722908</v>
      </c>
      <c r="R109" s="173">
        <v>95</v>
      </c>
      <c r="S109" s="175">
        <v>503.5487179487176</v>
      </c>
      <c r="T109" s="174">
        <v>418.119764957265</v>
      </c>
      <c r="U109" s="176">
        <v>338.86175213675216</v>
      </c>
    </row>
    <row r="110" spans="2:21" ht="18" customHeight="1">
      <c r="B110" s="21">
        <v>84</v>
      </c>
      <c r="C110" s="122">
        <f>13.75*B110-596</f>
        <v>559</v>
      </c>
      <c r="D110" s="122">
        <f>11.5*B110-496.67</f>
        <v>469.33</v>
      </c>
      <c r="E110" s="122">
        <f>10.125*B110-438.83</f>
        <v>411.67</v>
      </c>
      <c r="F110" s="21">
        <v>84</v>
      </c>
      <c r="G110" s="129">
        <f t="shared" si="28"/>
        <v>458.33</v>
      </c>
      <c r="H110" s="122">
        <f t="shared" si="29"/>
        <v>390</v>
      </c>
      <c r="I110" s="124">
        <f t="shared" si="30"/>
        <v>314</v>
      </c>
      <c r="J110" s="246">
        <f aca="true" t="shared" si="31" ref="J110:L112">IF($B110=$N106,O106,(O107-O106)/($N107-$N106)*($B110-$N106)+O106)</f>
        <v>379.42657750342937</v>
      </c>
      <c r="K110" s="246">
        <f t="shared" si="31"/>
        <v>327.39660493827176</v>
      </c>
      <c r="L110" s="246">
        <f t="shared" si="31"/>
        <v>277.90881344307275</v>
      </c>
      <c r="M110" s="244"/>
      <c r="N110" s="169">
        <v>100</v>
      </c>
      <c r="O110" s="170">
        <v>537.4314128943756</v>
      </c>
      <c r="P110" s="170">
        <v>463.7345679012346</v>
      </c>
      <c r="Q110" s="170">
        <v>393.63854595336056</v>
      </c>
      <c r="R110" s="169">
        <v>100</v>
      </c>
      <c r="S110" s="171">
        <v>557.9487179487176</v>
      </c>
      <c r="T110" s="170">
        <v>463.2905982905982</v>
      </c>
      <c r="U110" s="172">
        <v>375.4700854700855</v>
      </c>
    </row>
    <row r="111" spans="2:21" ht="18" customHeight="1">
      <c r="B111" s="23">
        <v>88</v>
      </c>
      <c r="C111" s="125">
        <f>13.75*B111-596</f>
        <v>614</v>
      </c>
      <c r="D111" s="125">
        <f>11.5*B111-496.67</f>
        <v>515.3299999999999</v>
      </c>
      <c r="E111" s="125">
        <f>10.125*B111-438.83</f>
        <v>452.17</v>
      </c>
      <c r="F111" s="23">
        <v>88</v>
      </c>
      <c r="G111" s="130">
        <f t="shared" si="28"/>
        <v>496.33</v>
      </c>
      <c r="H111" s="125">
        <f t="shared" si="29"/>
        <v>422.5</v>
      </c>
      <c r="I111" s="127">
        <f t="shared" si="30"/>
        <v>340</v>
      </c>
      <c r="J111" s="246">
        <f t="shared" si="31"/>
        <v>416.50934499314127</v>
      </c>
      <c r="K111" s="246">
        <f t="shared" si="31"/>
        <v>359.3942901234569</v>
      </c>
      <c r="L111" s="246">
        <f t="shared" si="31"/>
        <v>305.0698731138546</v>
      </c>
      <c r="M111" s="244"/>
      <c r="N111" s="173">
        <v>105</v>
      </c>
      <c r="O111" s="174"/>
      <c r="P111" s="174"/>
      <c r="Q111" s="174"/>
      <c r="R111" s="173">
        <v>105</v>
      </c>
      <c r="S111" s="175"/>
      <c r="T111" s="174"/>
      <c r="U111" s="176"/>
    </row>
    <row r="112" spans="2:21" ht="18" customHeight="1" thickBot="1">
      <c r="B112" s="25">
        <v>92</v>
      </c>
      <c r="C112" s="139">
        <f>13.75*B112-596</f>
        <v>669</v>
      </c>
      <c r="D112" s="139">
        <f>11.5*B112-496.67</f>
        <v>561.3299999999999</v>
      </c>
      <c r="E112" s="139">
        <f>10.125*B112-438.83</f>
        <v>492.67</v>
      </c>
      <c r="F112" s="25">
        <v>92</v>
      </c>
      <c r="G112" s="198">
        <f t="shared" si="28"/>
        <v>534.3299999999999</v>
      </c>
      <c r="H112" s="139">
        <f t="shared" si="29"/>
        <v>455</v>
      </c>
      <c r="I112" s="141">
        <f t="shared" si="30"/>
        <v>366</v>
      </c>
      <c r="J112" s="246">
        <f t="shared" si="31"/>
        <v>455.20440672153626</v>
      </c>
      <c r="K112" s="246">
        <f t="shared" si="31"/>
        <v>392.7831790123458</v>
      </c>
      <c r="L112" s="246">
        <f t="shared" si="31"/>
        <v>333.4118484224965</v>
      </c>
      <c r="M112" s="244"/>
      <c r="N112" s="180">
        <v>110</v>
      </c>
      <c r="O112" s="181"/>
      <c r="P112" s="181"/>
      <c r="Q112" s="181"/>
      <c r="R112" s="180">
        <v>110</v>
      </c>
      <c r="S112" s="187"/>
      <c r="T112" s="181"/>
      <c r="U112" s="183"/>
    </row>
    <row r="113" ht="18" customHeight="1" thickBot="1"/>
    <row r="114" spans="2:17" ht="18" customHeight="1">
      <c r="B114" s="5"/>
      <c r="C114" s="7"/>
      <c r="D114" s="7"/>
      <c r="E114" s="52"/>
      <c r="N114" s="142"/>
      <c r="O114" s="145"/>
      <c r="P114" s="145"/>
      <c r="Q114" s="146"/>
    </row>
    <row r="115" spans="2:17" ht="18" customHeight="1">
      <c r="B115" s="10"/>
      <c r="C115" s="65"/>
      <c r="D115" s="66" t="s">
        <v>12</v>
      </c>
      <c r="E115" s="67"/>
      <c r="J115" s="269" t="s">
        <v>71</v>
      </c>
      <c r="K115" s="270"/>
      <c r="L115" s="270"/>
      <c r="N115" s="147"/>
      <c r="O115" s="148"/>
      <c r="P115" s="149" t="s">
        <v>12</v>
      </c>
      <c r="Q115" s="150"/>
    </row>
    <row r="116" spans="2:44" ht="18" customHeight="1">
      <c r="B116" s="12" t="s">
        <v>4</v>
      </c>
      <c r="C116" s="31" t="s">
        <v>13</v>
      </c>
      <c r="D116" s="31" t="s">
        <v>14</v>
      </c>
      <c r="E116" s="53" t="s">
        <v>15</v>
      </c>
      <c r="F116" s="96"/>
      <c r="G116" s="96"/>
      <c r="H116" s="96"/>
      <c r="I116" s="96"/>
      <c r="J116" s="245" t="s">
        <v>13</v>
      </c>
      <c r="K116" s="245" t="s">
        <v>14</v>
      </c>
      <c r="L116" s="245" t="s">
        <v>15</v>
      </c>
      <c r="N116" s="151" t="s">
        <v>4</v>
      </c>
      <c r="O116" s="152" t="s">
        <v>13</v>
      </c>
      <c r="P116" s="152" t="s">
        <v>14</v>
      </c>
      <c r="Q116" s="153" t="s">
        <v>15</v>
      </c>
      <c r="AO116" s="9"/>
      <c r="AP116" s="9"/>
      <c r="AQ116" s="9"/>
      <c r="AR116" s="9"/>
    </row>
    <row r="117" spans="2:17" ht="18" customHeight="1" thickBot="1">
      <c r="B117" s="12" t="s">
        <v>16</v>
      </c>
      <c r="C117" s="14" t="s">
        <v>17</v>
      </c>
      <c r="D117" s="13" t="s">
        <v>17</v>
      </c>
      <c r="E117" s="54" t="s">
        <v>17</v>
      </c>
      <c r="F117" s="27"/>
      <c r="G117" s="11"/>
      <c r="H117" s="29"/>
      <c r="I117" s="28"/>
      <c r="N117" s="151" t="s">
        <v>16</v>
      </c>
      <c r="O117" s="155" t="s">
        <v>17</v>
      </c>
      <c r="P117" s="154" t="s">
        <v>17</v>
      </c>
      <c r="Q117" s="156" t="s">
        <v>17</v>
      </c>
    </row>
    <row r="118" spans="2:17" ht="18" customHeight="1">
      <c r="B118" s="15">
        <v>8</v>
      </c>
      <c r="C118" s="70">
        <v>0</v>
      </c>
      <c r="D118" s="16">
        <v>0</v>
      </c>
      <c r="E118" s="55">
        <v>2</v>
      </c>
      <c r="F118" s="29"/>
      <c r="G118" s="11"/>
      <c r="H118" s="29"/>
      <c r="I118" s="28"/>
      <c r="N118" s="157">
        <v>5</v>
      </c>
      <c r="O118" s="159">
        <v>0</v>
      </c>
      <c r="P118" s="158">
        <v>0</v>
      </c>
      <c r="Q118" s="160">
        <v>0</v>
      </c>
    </row>
    <row r="119" spans="2:17" ht="18" customHeight="1">
      <c r="B119" s="17">
        <v>12</v>
      </c>
      <c r="C119" s="71">
        <v>0</v>
      </c>
      <c r="D119" s="18">
        <v>0</v>
      </c>
      <c r="E119" s="56">
        <v>3</v>
      </c>
      <c r="F119" s="29"/>
      <c r="G119" s="11"/>
      <c r="H119" s="29"/>
      <c r="I119" s="28"/>
      <c r="J119" s="246">
        <f aca="true" t="shared" si="32" ref="J119:L121">IF($B119=$N119,O119,(O120-O119)/($N120-$N119)*($B119-$N119)+O119)</f>
        <v>0.14991986644407346</v>
      </c>
      <c r="K119" s="246">
        <f t="shared" si="32"/>
        <v>0.116881469115192</v>
      </c>
      <c r="L119" s="246">
        <f t="shared" si="32"/>
        <v>0.116881469115192</v>
      </c>
      <c r="N119" s="161">
        <v>10</v>
      </c>
      <c r="O119" s="163">
        <v>0</v>
      </c>
      <c r="P119" s="162">
        <v>0</v>
      </c>
      <c r="Q119" s="164">
        <v>0</v>
      </c>
    </row>
    <row r="120" spans="2:17" ht="18" customHeight="1">
      <c r="B120" s="19">
        <v>16</v>
      </c>
      <c r="C120" s="72">
        <v>1</v>
      </c>
      <c r="D120" s="20">
        <v>1</v>
      </c>
      <c r="E120" s="57">
        <v>6</v>
      </c>
      <c r="F120" s="27"/>
      <c r="G120" s="28"/>
      <c r="H120" s="29"/>
      <c r="I120" s="28"/>
      <c r="J120" s="246">
        <f t="shared" si="32"/>
        <v>0.8509955949571124</v>
      </c>
      <c r="K120" s="246">
        <f t="shared" si="32"/>
        <v>0.7106374209890047</v>
      </c>
      <c r="L120" s="246">
        <f t="shared" si="32"/>
        <v>0.7076250071959012</v>
      </c>
      <c r="N120" s="165">
        <v>15</v>
      </c>
      <c r="O120" s="167">
        <v>0.3747996661101836</v>
      </c>
      <c r="P120" s="166">
        <v>0.29220367278798</v>
      </c>
      <c r="Q120" s="168">
        <v>0.29220367278798</v>
      </c>
    </row>
    <row r="121" spans="2:17" ht="18" customHeight="1">
      <c r="B121" s="17">
        <v>20</v>
      </c>
      <c r="C121" s="71">
        <v>4</v>
      </c>
      <c r="D121" s="18">
        <v>3</v>
      </c>
      <c r="E121" s="56">
        <v>10</v>
      </c>
      <c r="J121" s="246">
        <f t="shared" si="32"/>
        <v>2.7557793103448276</v>
      </c>
      <c r="K121" s="246">
        <f t="shared" si="32"/>
        <v>2.3843724137931037</v>
      </c>
      <c r="L121" s="246">
        <f t="shared" si="32"/>
        <v>2.369310344827586</v>
      </c>
      <c r="N121" s="161">
        <v>20</v>
      </c>
      <c r="O121" s="163">
        <v>2.7557793103448276</v>
      </c>
      <c r="P121" s="162">
        <v>2.3843724137931037</v>
      </c>
      <c r="Q121" s="164">
        <v>2.369310344827586</v>
      </c>
    </row>
    <row r="122" spans="2:17" s="30" customFormat="1" ht="18" customHeight="1">
      <c r="B122" s="19">
        <v>24</v>
      </c>
      <c r="C122" s="72">
        <v>10</v>
      </c>
      <c r="D122" s="20">
        <v>9</v>
      </c>
      <c r="E122" s="57">
        <v>16</v>
      </c>
      <c r="J122" s="246">
        <f aca="true" t="shared" si="33" ref="J122:L126">IF($B122=$N121,O121,(O122-O121)/($N122-$N121)*($B122-$N121)+O121)</f>
        <v>6.790017717739069</v>
      </c>
      <c r="K122" s="246">
        <f t="shared" si="33"/>
        <v>5.868429121933879</v>
      </c>
      <c r="L122" s="246">
        <f t="shared" si="33"/>
        <v>5.701276501955208</v>
      </c>
      <c r="N122" s="165">
        <v>25</v>
      </c>
      <c r="O122" s="167">
        <v>7.798577319587629</v>
      </c>
      <c r="P122" s="166">
        <v>6.739443298969072</v>
      </c>
      <c r="Q122" s="168">
        <v>6.534268041237113</v>
      </c>
    </row>
    <row r="123" spans="2:17" ht="18" customHeight="1">
      <c r="B123" s="21">
        <v>28</v>
      </c>
      <c r="C123" s="73">
        <v>18</v>
      </c>
      <c r="D123" s="22">
        <v>17</v>
      </c>
      <c r="E123" s="58">
        <v>25</v>
      </c>
      <c r="J123" s="246">
        <f t="shared" si="33"/>
        <v>13.338402026100947</v>
      </c>
      <c r="K123" s="246">
        <f t="shared" si="33"/>
        <v>11.255817782015374</v>
      </c>
      <c r="L123" s="246">
        <f t="shared" si="33"/>
        <v>10.577788141350336</v>
      </c>
      <c r="N123" s="169">
        <v>30</v>
      </c>
      <c r="O123" s="171">
        <v>17.031618497109825</v>
      </c>
      <c r="P123" s="170">
        <v>14.266734104046243</v>
      </c>
      <c r="Q123" s="172">
        <v>13.273468208092485</v>
      </c>
    </row>
    <row r="124" spans="2:17" ht="15.75" customHeight="1">
      <c r="B124" s="23">
        <v>32</v>
      </c>
      <c r="C124" s="74">
        <v>32</v>
      </c>
      <c r="D124" s="24">
        <v>28</v>
      </c>
      <c r="E124" s="59">
        <v>35</v>
      </c>
      <c r="J124" s="246">
        <f t="shared" si="33"/>
        <v>23.1331487044435</v>
      </c>
      <c r="K124" s="246">
        <f t="shared" si="33"/>
        <v>19.158974825362108</v>
      </c>
      <c r="L124" s="246">
        <f t="shared" si="33"/>
        <v>17.284374361148927</v>
      </c>
      <c r="N124" s="173">
        <v>35</v>
      </c>
      <c r="O124" s="175">
        <v>32.285444015444014</v>
      </c>
      <c r="P124" s="174">
        <v>26.49733590733591</v>
      </c>
      <c r="Q124" s="176">
        <v>23.300733590733593</v>
      </c>
    </row>
    <row r="125" spans="2:17" ht="15">
      <c r="B125" s="17">
        <v>36</v>
      </c>
      <c r="C125" s="71">
        <v>46</v>
      </c>
      <c r="D125" s="18">
        <v>40</v>
      </c>
      <c r="E125" s="56">
        <v>46</v>
      </c>
      <c r="J125" s="246">
        <f t="shared" si="33"/>
        <v>36.89761936329861</v>
      </c>
      <c r="K125" s="246">
        <f t="shared" si="33"/>
        <v>30.12028382020835</v>
      </c>
      <c r="L125" s="246">
        <f t="shared" si="33"/>
        <v>26.0456057405114</v>
      </c>
      <c r="N125" s="161">
        <v>40</v>
      </c>
      <c r="O125" s="163">
        <v>55.346320754716984</v>
      </c>
      <c r="P125" s="162">
        <v>44.61207547169811</v>
      </c>
      <c r="Q125" s="164">
        <v>37.02509433962264</v>
      </c>
    </row>
    <row r="126" spans="2:17" ht="15">
      <c r="B126" s="19">
        <v>40</v>
      </c>
      <c r="C126" s="75">
        <v>70</v>
      </c>
      <c r="D126" s="20">
        <v>60</v>
      </c>
      <c r="E126" s="57">
        <v>66</v>
      </c>
      <c r="J126" s="246">
        <f t="shared" si="33"/>
        <v>55.346320754716984</v>
      </c>
      <c r="K126" s="246">
        <f t="shared" si="33"/>
        <v>44.61207547169811</v>
      </c>
      <c r="L126" s="246">
        <f t="shared" si="33"/>
        <v>37.02509433962264</v>
      </c>
      <c r="N126" s="165">
        <v>45</v>
      </c>
      <c r="O126" s="177">
        <v>94.4864375</v>
      </c>
      <c r="P126" s="166">
        <v>74.4195</v>
      </c>
      <c r="Q126" s="168">
        <v>59.2730625</v>
      </c>
    </row>
    <row r="127" spans="2:17" ht="15">
      <c r="B127" s="21">
        <v>44</v>
      </c>
      <c r="C127" s="76">
        <v>98</v>
      </c>
      <c r="D127" s="22">
        <v>84</v>
      </c>
      <c r="E127" s="58">
        <v>87</v>
      </c>
      <c r="J127" s="246">
        <f aca="true" t="shared" si="34" ref="J127:L131">IF($B127=N125,O125,(O126-O125)/($N126-$N125)*($B127-$N125)+O125)</f>
        <v>86.6584141509434</v>
      </c>
      <c r="K127" s="246">
        <f t="shared" si="34"/>
        <v>68.45801509433963</v>
      </c>
      <c r="L127" s="246">
        <f t="shared" si="34"/>
        <v>54.82346886792453</v>
      </c>
      <c r="N127" s="169">
        <v>50</v>
      </c>
      <c r="O127" s="178">
        <v>140.37676923076924</v>
      </c>
      <c r="P127" s="170">
        <v>109.34538461538462</v>
      </c>
      <c r="Q127" s="172">
        <v>85.09784615384615</v>
      </c>
    </row>
    <row r="128" spans="2:17" ht="15">
      <c r="B128" s="19">
        <v>48</v>
      </c>
      <c r="C128" s="77">
        <v>132</v>
      </c>
      <c r="D128" s="24">
        <v>112</v>
      </c>
      <c r="E128" s="59">
        <v>111</v>
      </c>
      <c r="J128" s="246">
        <f t="shared" si="34"/>
        <v>122.02063653846155</v>
      </c>
      <c r="K128" s="246">
        <f t="shared" si="34"/>
        <v>95.37503076923076</v>
      </c>
      <c r="L128" s="246">
        <f t="shared" si="34"/>
        <v>74.76793269230768</v>
      </c>
      <c r="N128" s="165">
        <v>55</v>
      </c>
      <c r="O128" s="179">
        <v>197.41532710280373</v>
      </c>
      <c r="P128" s="174">
        <v>152.63271028037383</v>
      </c>
      <c r="Q128" s="176">
        <v>114.82401869158879</v>
      </c>
    </row>
    <row r="129" spans="2:17" ht="15.75" thickBot="1">
      <c r="B129" s="17">
        <v>52</v>
      </c>
      <c r="C129" s="78">
        <v>172</v>
      </c>
      <c r="D129" s="26">
        <v>146</v>
      </c>
      <c r="E129" s="60">
        <v>138</v>
      </c>
      <c r="J129" s="246">
        <f t="shared" si="34"/>
        <v>163.19219237958305</v>
      </c>
      <c r="K129" s="246">
        <f t="shared" si="34"/>
        <v>126.6603148813803</v>
      </c>
      <c r="L129" s="246">
        <f t="shared" si="34"/>
        <v>96.9883151689432</v>
      </c>
      <c r="N129" s="161">
        <v>60</v>
      </c>
      <c r="O129" s="182">
        <v>272.2968181818182</v>
      </c>
      <c r="P129" s="181">
        <v>207.56159090909088</v>
      </c>
      <c r="Q129" s="183">
        <v>151.66102272727272</v>
      </c>
    </row>
    <row r="130" spans="2:17" ht="15">
      <c r="B130" s="15">
        <v>56</v>
      </c>
      <c r="C130" s="74">
        <v>217</v>
      </c>
      <c r="D130" s="24">
        <v>183</v>
      </c>
      <c r="E130" s="59">
        <v>168</v>
      </c>
      <c r="J130" s="246">
        <f t="shared" si="34"/>
        <v>212.39162531860663</v>
      </c>
      <c r="K130" s="246">
        <f t="shared" si="34"/>
        <v>163.61848640611723</v>
      </c>
      <c r="L130" s="246">
        <f t="shared" si="34"/>
        <v>122.19141949872558</v>
      </c>
      <c r="N130" s="157">
        <v>65</v>
      </c>
      <c r="O130" s="175">
        <v>343.2328767123288</v>
      </c>
      <c r="P130" s="174">
        <v>260.54794520547944</v>
      </c>
      <c r="Q130" s="176">
        <v>188.45205479452054</v>
      </c>
    </row>
    <row r="131" spans="2:17" ht="15">
      <c r="B131" s="21">
        <v>60</v>
      </c>
      <c r="C131" s="71">
        <v>269</v>
      </c>
      <c r="D131" s="18">
        <v>226</v>
      </c>
      <c r="E131" s="56">
        <v>201</v>
      </c>
      <c r="J131" s="246">
        <f t="shared" si="34"/>
        <v>272.2968181818182</v>
      </c>
      <c r="K131" s="246">
        <f t="shared" si="34"/>
        <v>207.56159090909088</v>
      </c>
      <c r="L131" s="246">
        <f t="shared" si="34"/>
        <v>151.66102272727272</v>
      </c>
      <c r="N131" s="169">
        <v>70</v>
      </c>
      <c r="O131" s="163">
        <v>410.53125</v>
      </c>
      <c r="P131" s="162">
        <v>311.15625</v>
      </c>
      <c r="Q131" s="164">
        <v>220.65625</v>
      </c>
    </row>
    <row r="132" spans="2:17" ht="15">
      <c r="B132" s="19">
        <v>64</v>
      </c>
      <c r="C132" s="75">
        <v>306</v>
      </c>
      <c r="D132" s="20">
        <v>257</v>
      </c>
      <c r="E132" s="57">
        <v>228</v>
      </c>
      <c r="J132" s="246">
        <f aca="true" t="shared" si="35" ref="J132:L136">IF($B132=$N129,O129,(O130-O129)/($N130-$N129)*($B132-$N129)+O129)</f>
        <v>329.04566500622667</v>
      </c>
      <c r="K132" s="246">
        <f t="shared" si="35"/>
        <v>249.9506743462017</v>
      </c>
      <c r="L132" s="246">
        <f t="shared" si="35"/>
        <v>181.09384838107098</v>
      </c>
      <c r="N132" s="165">
        <v>75</v>
      </c>
      <c r="O132" s="177">
        <v>471.27311862244903</v>
      </c>
      <c r="P132" s="166">
        <v>357.19467474489795</v>
      </c>
      <c r="Q132" s="168">
        <v>253.30436862244898</v>
      </c>
    </row>
    <row r="133" spans="2:17" ht="15">
      <c r="B133" s="21">
        <v>68</v>
      </c>
      <c r="C133" s="76">
        <v>344</v>
      </c>
      <c r="D133" s="22">
        <v>289</v>
      </c>
      <c r="E133" s="58">
        <v>256</v>
      </c>
      <c r="J133" s="246">
        <f t="shared" si="35"/>
        <v>383.6119006849315</v>
      </c>
      <c r="K133" s="246">
        <f t="shared" si="35"/>
        <v>290.9129280821918</v>
      </c>
      <c r="L133" s="246">
        <f t="shared" si="35"/>
        <v>207.7745719178082</v>
      </c>
      <c r="N133" s="169">
        <v>80</v>
      </c>
      <c r="O133" s="178">
        <v>536.2040816326531</v>
      </c>
      <c r="P133" s="170">
        <v>406.408163265306</v>
      </c>
      <c r="Q133" s="172">
        <v>288.204081632653</v>
      </c>
    </row>
    <row r="134" spans="2:17" ht="15">
      <c r="B134" s="19">
        <v>72</v>
      </c>
      <c r="C134" s="77">
        <v>381</v>
      </c>
      <c r="D134" s="24">
        <v>320</v>
      </c>
      <c r="E134" s="59">
        <v>284</v>
      </c>
      <c r="J134" s="246">
        <f t="shared" si="35"/>
        <v>434.8279974489796</v>
      </c>
      <c r="K134" s="246">
        <f t="shared" si="35"/>
        <v>329.5716198979592</v>
      </c>
      <c r="L134" s="246">
        <f t="shared" si="35"/>
        <v>233.7154974489796</v>
      </c>
      <c r="N134" s="165">
        <v>85</v>
      </c>
      <c r="O134" s="179">
        <v>605.3241390306124</v>
      </c>
      <c r="P134" s="174">
        <v>458.7967155612244</v>
      </c>
      <c r="Q134" s="176">
        <v>325.3553890306122</v>
      </c>
    </row>
    <row r="135" spans="2:17" ht="15">
      <c r="B135" s="137">
        <v>76</v>
      </c>
      <c r="C135" s="123">
        <f>9.375*B135-293.83</f>
        <v>418.67</v>
      </c>
      <c r="D135" s="122">
        <f>7.875*B135-246.83</f>
        <v>351.66999999999996</v>
      </c>
      <c r="E135" s="124">
        <f>7*B135-220</f>
        <v>312</v>
      </c>
      <c r="J135" s="246">
        <f t="shared" si="35"/>
        <v>484.25931122448986</v>
      </c>
      <c r="K135" s="246">
        <f t="shared" si="35"/>
        <v>367.03737244897957</v>
      </c>
      <c r="L135" s="246">
        <f t="shared" si="35"/>
        <v>260.2843112244898</v>
      </c>
      <c r="N135" s="169">
        <v>90</v>
      </c>
      <c r="O135" s="178">
        <v>678.6332908163266</v>
      </c>
      <c r="P135" s="170">
        <v>514.3603316326529</v>
      </c>
      <c r="Q135" s="172">
        <v>364.75829081632645</v>
      </c>
    </row>
    <row r="136" spans="2:17" ht="15">
      <c r="B136" s="138">
        <v>80</v>
      </c>
      <c r="C136" s="126">
        <f>9.375*B136-293.83</f>
        <v>456.17</v>
      </c>
      <c r="D136" s="125">
        <f>7.875*B136-246.83</f>
        <v>383.16999999999996</v>
      </c>
      <c r="E136" s="127">
        <f>7*B136-220</f>
        <v>340</v>
      </c>
      <c r="J136" s="246">
        <f t="shared" si="35"/>
        <v>536.2040816326531</v>
      </c>
      <c r="K136" s="246">
        <f t="shared" si="35"/>
        <v>406.408163265306</v>
      </c>
      <c r="L136" s="246">
        <f t="shared" si="35"/>
        <v>288.204081632653</v>
      </c>
      <c r="N136" s="173">
        <v>95</v>
      </c>
      <c r="O136" s="179">
        <v>756.1315369897959</v>
      </c>
      <c r="P136" s="174">
        <v>573.0990114795915</v>
      </c>
      <c r="Q136" s="176">
        <v>406.4127869897958</v>
      </c>
    </row>
    <row r="137" spans="2:17" ht="15">
      <c r="B137" s="137">
        <v>84</v>
      </c>
      <c r="C137" s="123">
        <f>9.375*B137-293.83</f>
        <v>493.67</v>
      </c>
      <c r="D137" s="122">
        <f>7.875*B137-246.83</f>
        <v>414.66999999999996</v>
      </c>
      <c r="E137" s="124">
        <f>7*B137-220</f>
        <v>368</v>
      </c>
      <c r="J137" s="246">
        <f aca="true" t="shared" si="36" ref="J137:L139">IF($B137=$N133,O133,(O134-O133)/($N134-$N133)*($B137-$N133)+O133)</f>
        <v>591.5001275510206</v>
      </c>
      <c r="K137" s="246">
        <f t="shared" si="36"/>
        <v>448.3190051020407</v>
      </c>
      <c r="L137" s="246">
        <f t="shared" si="36"/>
        <v>317.92512755102035</v>
      </c>
      <c r="N137" s="169">
        <v>100</v>
      </c>
      <c r="O137" s="178">
        <v>837.8188775510203</v>
      </c>
      <c r="P137" s="170">
        <v>635.0127551020405</v>
      </c>
      <c r="Q137" s="172">
        <v>450.31887755102025</v>
      </c>
    </row>
    <row r="138" spans="2:17" ht="15">
      <c r="B138" s="23">
        <v>88</v>
      </c>
      <c r="C138" s="126">
        <f>9.375*B138-293.83</f>
        <v>531.1700000000001</v>
      </c>
      <c r="D138" s="125">
        <f>7.875*B138-246.83</f>
        <v>446.16999999999996</v>
      </c>
      <c r="E138" s="127">
        <f>7*B138-220</f>
        <v>396</v>
      </c>
      <c r="J138" s="246">
        <f t="shared" si="36"/>
        <v>649.309630102041</v>
      </c>
      <c r="K138" s="246">
        <f t="shared" si="36"/>
        <v>492.1348852040815</v>
      </c>
      <c r="L138" s="246">
        <f t="shared" si="36"/>
        <v>348.9971301020407</v>
      </c>
      <c r="N138" s="173">
        <v>105</v>
      </c>
      <c r="O138" s="179"/>
      <c r="P138" s="174"/>
      <c r="Q138" s="176"/>
    </row>
    <row r="139" spans="2:17" ht="15.75" thickBot="1">
      <c r="B139" s="25">
        <v>92</v>
      </c>
      <c r="C139" s="140">
        <f>9.375*B139-293.83</f>
        <v>568.6700000000001</v>
      </c>
      <c r="D139" s="139">
        <f>7.875*B139-246.83</f>
        <v>477.66999999999996</v>
      </c>
      <c r="E139" s="141">
        <f>7*B139-220</f>
        <v>424</v>
      </c>
      <c r="J139" s="246">
        <f t="shared" si="36"/>
        <v>709.6325892857143</v>
      </c>
      <c r="K139" s="246">
        <f t="shared" si="36"/>
        <v>537.8558035714283</v>
      </c>
      <c r="L139" s="246">
        <f t="shared" si="36"/>
        <v>381.4200892857142</v>
      </c>
      <c r="N139" s="180">
        <v>110</v>
      </c>
      <c r="O139" s="182"/>
      <c r="P139" s="181"/>
      <c r="Q139" s="183"/>
    </row>
    <row r="140" ht="13.5" thickBot="1"/>
    <row r="141" spans="2:17" ht="12.75">
      <c r="B141" s="5"/>
      <c r="C141" s="7"/>
      <c r="D141" s="7"/>
      <c r="E141" s="52"/>
      <c r="N141" s="142"/>
      <c r="O141" s="145"/>
      <c r="P141" s="145"/>
      <c r="Q141" s="146"/>
    </row>
    <row r="142" spans="2:17" ht="15.75">
      <c r="B142" s="10"/>
      <c r="C142" s="65"/>
      <c r="D142" s="66" t="s">
        <v>21</v>
      </c>
      <c r="E142" s="67"/>
      <c r="J142" s="269" t="s">
        <v>72</v>
      </c>
      <c r="K142" s="270"/>
      <c r="L142" s="270"/>
      <c r="N142" s="147"/>
      <c r="O142" s="148"/>
      <c r="P142" s="149" t="s">
        <v>21</v>
      </c>
      <c r="Q142" s="150"/>
    </row>
    <row r="143" spans="2:17" ht="12.75">
      <c r="B143" s="12" t="s">
        <v>4</v>
      </c>
      <c r="C143" s="31" t="s">
        <v>13</v>
      </c>
      <c r="D143" s="31" t="s">
        <v>14</v>
      </c>
      <c r="E143" s="53" t="s">
        <v>15</v>
      </c>
      <c r="J143" s="245" t="s">
        <v>13</v>
      </c>
      <c r="K143" s="245" t="s">
        <v>14</v>
      </c>
      <c r="L143" s="245" t="s">
        <v>15</v>
      </c>
      <c r="N143" s="151" t="s">
        <v>4</v>
      </c>
      <c r="O143" s="152" t="s">
        <v>13</v>
      </c>
      <c r="P143" s="152" t="s">
        <v>14</v>
      </c>
      <c r="Q143" s="153" t="s">
        <v>15</v>
      </c>
    </row>
    <row r="144" spans="2:17" ht="13.5" thickBot="1">
      <c r="B144" s="68" t="s">
        <v>16</v>
      </c>
      <c r="C144" s="14" t="s">
        <v>17</v>
      </c>
      <c r="D144" s="13" t="s">
        <v>17</v>
      </c>
      <c r="E144" s="54" t="s">
        <v>17</v>
      </c>
      <c r="N144" s="189" t="s">
        <v>16</v>
      </c>
      <c r="O144" s="155" t="s">
        <v>17</v>
      </c>
      <c r="P144" s="154" t="s">
        <v>17</v>
      </c>
      <c r="Q144" s="156" t="s">
        <v>17</v>
      </c>
    </row>
    <row r="145" spans="2:17" ht="15">
      <c r="B145" s="15">
        <v>8</v>
      </c>
      <c r="C145" s="70">
        <v>0</v>
      </c>
      <c r="D145" s="16">
        <v>0</v>
      </c>
      <c r="E145" s="55">
        <v>0</v>
      </c>
      <c r="N145" s="157">
        <v>5</v>
      </c>
      <c r="O145" s="159">
        <v>0</v>
      </c>
      <c r="P145" s="158">
        <v>0</v>
      </c>
      <c r="Q145" s="160">
        <v>0</v>
      </c>
    </row>
    <row r="146" spans="2:17" ht="15">
      <c r="B146" s="17">
        <v>12</v>
      </c>
      <c r="C146" s="71">
        <v>0</v>
      </c>
      <c r="D146" s="18">
        <v>0</v>
      </c>
      <c r="E146" s="56">
        <v>0</v>
      </c>
      <c r="J146" s="246">
        <f aca="true" t="shared" si="37" ref="J146:L148">IF($B146=$N146,O146,(O147-O146)/($N147-$N146)*($B146-$N146)+O146)</f>
        <v>0.2115856163289175</v>
      </c>
      <c r="K146" s="246">
        <f t="shared" si="37"/>
        <v>0.14195099455308624</v>
      </c>
      <c r="L146" s="246">
        <f t="shared" si="37"/>
        <v>0.14071467774690466</v>
      </c>
      <c r="N146" s="161">
        <v>10</v>
      </c>
      <c r="O146" s="163">
        <v>0.014252481389578164</v>
      </c>
      <c r="P146" s="162">
        <v>0.00553970223325062</v>
      </c>
      <c r="Q146" s="164">
        <v>0.00553970223325062</v>
      </c>
    </row>
    <row r="147" spans="2:17" ht="15">
      <c r="B147" s="19">
        <v>16</v>
      </c>
      <c r="C147" s="72">
        <v>1</v>
      </c>
      <c r="D147" s="20">
        <v>1</v>
      </c>
      <c r="E147" s="57">
        <v>1</v>
      </c>
      <c r="J147" s="246">
        <f t="shared" si="37"/>
        <v>0.9501216192594828</v>
      </c>
      <c r="K147" s="246">
        <f t="shared" si="37"/>
        <v>0.7138413533868286</v>
      </c>
      <c r="L147" s="246">
        <f t="shared" si="37"/>
        <v>0.6940879773150685</v>
      </c>
      <c r="N147" s="165">
        <v>15</v>
      </c>
      <c r="O147" s="167">
        <v>0.5075853187379266</v>
      </c>
      <c r="P147" s="166">
        <v>0.34656793303283967</v>
      </c>
      <c r="Q147" s="168">
        <v>0.3434771410173857</v>
      </c>
    </row>
    <row r="148" spans="2:17" ht="15">
      <c r="B148" s="17">
        <v>20</v>
      </c>
      <c r="C148" s="71">
        <v>4</v>
      </c>
      <c r="D148" s="18">
        <v>3</v>
      </c>
      <c r="E148" s="56">
        <v>3</v>
      </c>
      <c r="J148" s="246">
        <f t="shared" si="37"/>
        <v>2.7202668213457075</v>
      </c>
      <c r="K148" s="246">
        <f t="shared" si="37"/>
        <v>2.1829350348027843</v>
      </c>
      <c r="L148" s="246">
        <f t="shared" si="37"/>
        <v>2.0965313225058004</v>
      </c>
      <c r="N148" s="161">
        <v>20</v>
      </c>
      <c r="O148" s="163">
        <v>2.7202668213457075</v>
      </c>
      <c r="P148" s="162">
        <v>2.1829350348027843</v>
      </c>
      <c r="Q148" s="164">
        <v>2.0965313225058004</v>
      </c>
    </row>
    <row r="149" spans="2:17" ht="15">
      <c r="B149" s="19">
        <v>24</v>
      </c>
      <c r="C149" s="72">
        <v>10</v>
      </c>
      <c r="D149" s="20">
        <v>9</v>
      </c>
      <c r="E149" s="57">
        <v>8</v>
      </c>
      <c r="J149" s="246">
        <f aca="true" t="shared" si="38" ref="J149:L153">IF($B149=$N148,O148,(O149-O148)/($N149-$N148)*($B149-$N148)+O148)</f>
        <v>7.215524923902168</v>
      </c>
      <c r="K149" s="246">
        <f t="shared" si="38"/>
        <v>5.932043887694503</v>
      </c>
      <c r="L149" s="246">
        <f t="shared" si="38"/>
        <v>5.451952136060792</v>
      </c>
      <c r="N149" s="165">
        <v>25</v>
      </c>
      <c r="O149" s="167">
        <v>8.339339449541283</v>
      </c>
      <c r="P149" s="166">
        <v>6.869321100917432</v>
      </c>
      <c r="Q149" s="168">
        <v>6.2908073394495405</v>
      </c>
    </row>
    <row r="150" spans="2:17" ht="15">
      <c r="B150" s="21">
        <v>28</v>
      </c>
      <c r="C150" s="73">
        <v>19</v>
      </c>
      <c r="D150" s="22">
        <v>16</v>
      </c>
      <c r="E150" s="58">
        <v>15</v>
      </c>
      <c r="J150" s="246">
        <f t="shared" si="38"/>
        <v>13.375888814117303</v>
      </c>
      <c r="K150" s="246">
        <f t="shared" si="38"/>
        <v>10.92984453535378</v>
      </c>
      <c r="L150" s="246">
        <f t="shared" si="38"/>
        <v>9.768169901479025</v>
      </c>
      <c r="N150" s="169">
        <v>30</v>
      </c>
      <c r="O150" s="171">
        <v>16.733588390501318</v>
      </c>
      <c r="P150" s="170">
        <v>13.636860158311345</v>
      </c>
      <c r="Q150" s="172">
        <v>12.08641160949868</v>
      </c>
    </row>
    <row r="151" spans="2:17" ht="15">
      <c r="B151" s="23">
        <v>32</v>
      </c>
      <c r="C151" s="74">
        <v>31</v>
      </c>
      <c r="D151" s="24">
        <v>27</v>
      </c>
      <c r="E151" s="59">
        <v>25</v>
      </c>
      <c r="J151" s="246">
        <f t="shared" si="38"/>
        <v>21.669437705833637</v>
      </c>
      <c r="K151" s="246">
        <f t="shared" si="38"/>
        <v>17.673429963599947</v>
      </c>
      <c r="L151" s="246">
        <f t="shared" si="38"/>
        <v>15.58304404599118</v>
      </c>
      <c r="N151" s="173">
        <v>35</v>
      </c>
      <c r="O151" s="175">
        <v>29.07321167883212</v>
      </c>
      <c r="P151" s="174">
        <v>23.728284671532847</v>
      </c>
      <c r="Q151" s="176">
        <v>20.827992700729926</v>
      </c>
    </row>
    <row r="152" spans="2:17" ht="15">
      <c r="B152" s="17">
        <v>36</v>
      </c>
      <c r="C152" s="71">
        <v>47</v>
      </c>
      <c r="D152" s="18">
        <v>41</v>
      </c>
      <c r="E152" s="56">
        <v>37</v>
      </c>
      <c r="J152" s="246">
        <f t="shared" si="38"/>
        <v>33.30287326463432</v>
      </c>
      <c r="K152" s="246">
        <f t="shared" si="38"/>
        <v>27.321990482324317</v>
      </c>
      <c r="L152" s="246">
        <f t="shared" si="38"/>
        <v>23.939305925289823</v>
      </c>
      <c r="N152" s="161">
        <v>40</v>
      </c>
      <c r="O152" s="163">
        <v>50.22151960784314</v>
      </c>
      <c r="P152" s="162">
        <v>41.696813725490195</v>
      </c>
      <c r="Q152" s="164">
        <v>36.38455882352941</v>
      </c>
    </row>
    <row r="153" spans="2:17" ht="15">
      <c r="B153" s="19">
        <v>40</v>
      </c>
      <c r="C153" s="72">
        <v>67</v>
      </c>
      <c r="D153" s="20">
        <v>58</v>
      </c>
      <c r="E153" s="57">
        <v>52</v>
      </c>
      <c r="J153" s="246">
        <f t="shared" si="38"/>
        <v>50.22151960784314</v>
      </c>
      <c r="K153" s="246">
        <f t="shared" si="38"/>
        <v>41.696813725490195</v>
      </c>
      <c r="L153" s="246">
        <f t="shared" si="38"/>
        <v>36.38455882352941</v>
      </c>
      <c r="N153" s="165">
        <v>45</v>
      </c>
      <c r="O153" s="167">
        <v>74.9376282051282</v>
      </c>
      <c r="P153" s="166">
        <v>62.7025</v>
      </c>
      <c r="Q153" s="168">
        <v>54.37153846153846</v>
      </c>
    </row>
    <row r="154" spans="2:17" ht="15">
      <c r="B154" s="21">
        <v>44</v>
      </c>
      <c r="C154" s="73">
        <v>87</v>
      </c>
      <c r="D154" s="22">
        <v>73</v>
      </c>
      <c r="E154" s="58">
        <v>64</v>
      </c>
      <c r="J154" s="246">
        <f aca="true" t="shared" si="39" ref="J154:L158">IF($B154=N152,O152,(O153-O152)/($N153-$N152)*($B154-$N152)+O152)</f>
        <v>69.99440648567119</v>
      </c>
      <c r="K154" s="246">
        <f t="shared" si="39"/>
        <v>58.501362745098035</v>
      </c>
      <c r="L154" s="246">
        <f t="shared" si="39"/>
        <v>50.77414253393665</v>
      </c>
      <c r="N154" s="169">
        <v>50</v>
      </c>
      <c r="O154" s="171">
        <v>106.2824060150376</v>
      </c>
      <c r="P154" s="170">
        <v>89.3675939849624</v>
      </c>
      <c r="Q154" s="172">
        <v>76.30563909774436</v>
      </c>
    </row>
    <row r="155" spans="2:17" ht="15">
      <c r="B155" s="23">
        <v>48</v>
      </c>
      <c r="C155" s="74">
        <v>111</v>
      </c>
      <c r="D155" s="24">
        <v>94</v>
      </c>
      <c r="E155" s="59">
        <v>82</v>
      </c>
      <c r="J155" s="246">
        <f t="shared" si="39"/>
        <v>93.74449489107384</v>
      </c>
      <c r="K155" s="246">
        <f t="shared" si="39"/>
        <v>78.70155639097743</v>
      </c>
      <c r="L155" s="246">
        <f t="shared" si="39"/>
        <v>67.531998843262</v>
      </c>
      <c r="N155" s="173">
        <v>55</v>
      </c>
      <c r="O155" s="175">
        <v>140.35170940170943</v>
      </c>
      <c r="P155" s="174">
        <v>117.79393162393161</v>
      </c>
      <c r="Q155" s="176">
        <v>100.0131623931624</v>
      </c>
    </row>
    <row r="156" spans="2:17" ht="15.75" thickBot="1">
      <c r="B156" s="25">
        <v>52</v>
      </c>
      <c r="C156" s="79">
        <v>135</v>
      </c>
      <c r="D156" s="26">
        <v>114</v>
      </c>
      <c r="E156" s="60">
        <v>99</v>
      </c>
      <c r="J156" s="246">
        <f t="shared" si="39"/>
        <v>119.91012736970633</v>
      </c>
      <c r="K156" s="246">
        <f t="shared" si="39"/>
        <v>100.73812904055008</v>
      </c>
      <c r="L156" s="246">
        <f t="shared" si="39"/>
        <v>85.78864841591158</v>
      </c>
      <c r="N156" s="180">
        <v>60</v>
      </c>
      <c r="O156" s="187">
        <v>176.3821649484536</v>
      </c>
      <c r="P156" s="181">
        <v>147.67422680412372</v>
      </c>
      <c r="Q156" s="183">
        <v>123.79154639175259</v>
      </c>
    </row>
    <row r="157" spans="2:17" ht="15">
      <c r="B157" s="23">
        <v>56</v>
      </c>
      <c r="C157" s="74">
        <v>159</v>
      </c>
      <c r="D157" s="24">
        <v>135</v>
      </c>
      <c r="E157" s="59">
        <v>117</v>
      </c>
      <c r="J157" s="246">
        <f t="shared" si="39"/>
        <v>147.55780051105828</v>
      </c>
      <c r="K157" s="246">
        <f t="shared" si="39"/>
        <v>123.76999065997003</v>
      </c>
      <c r="L157" s="246">
        <f t="shared" si="39"/>
        <v>104.76883919288044</v>
      </c>
      <c r="N157" s="173">
        <v>65</v>
      </c>
      <c r="O157" s="175">
        <v>207.00322164948452</v>
      </c>
      <c r="P157" s="174">
        <v>173.307273768614</v>
      </c>
      <c r="Q157" s="176">
        <v>145.28579610538375</v>
      </c>
    </row>
    <row r="158" spans="2:17" ht="15">
      <c r="B158" s="21">
        <v>60</v>
      </c>
      <c r="C158" s="71">
        <v>185</v>
      </c>
      <c r="D158" s="18">
        <v>156</v>
      </c>
      <c r="E158" s="56">
        <v>135</v>
      </c>
      <c r="J158" s="246">
        <f t="shared" si="39"/>
        <v>176.3821649484536</v>
      </c>
      <c r="K158" s="246">
        <f t="shared" si="39"/>
        <v>147.67422680412372</v>
      </c>
      <c r="L158" s="246">
        <f t="shared" si="39"/>
        <v>123.79154639175259</v>
      </c>
      <c r="N158" s="169">
        <v>70</v>
      </c>
      <c r="O158" s="163">
        <v>240.0747422680413</v>
      </c>
      <c r="P158" s="162">
        <v>200.99541809851098</v>
      </c>
      <c r="Q158" s="164">
        <v>168.49713631156936</v>
      </c>
    </row>
    <row r="159" spans="2:17" ht="15">
      <c r="B159" s="23">
        <v>64</v>
      </c>
      <c r="C159" s="134">
        <f>6.25*B159-190.33</f>
        <v>209.67</v>
      </c>
      <c r="D159" s="128">
        <f aca="true" t="shared" si="40" ref="D159:D166">5.25*B159-159</f>
        <v>177</v>
      </c>
      <c r="E159" s="135">
        <f aca="true" t="shared" si="41" ref="E159:E166">4.5*B159-135</f>
        <v>153</v>
      </c>
      <c r="J159" s="246">
        <f aca="true" t="shared" si="42" ref="J159:L163">IF($B159=$N156,O156,(O157-O156)/($N157-$N156)*($B159-$N156)+O156)</f>
        <v>200.87901030927833</v>
      </c>
      <c r="K159" s="246">
        <f t="shared" si="42"/>
        <v>168.18066437571596</v>
      </c>
      <c r="L159" s="246">
        <f t="shared" si="42"/>
        <v>140.98694616265752</v>
      </c>
      <c r="N159" s="173">
        <v>75</v>
      </c>
      <c r="O159" s="167">
        <v>275.5960051546392</v>
      </c>
      <c r="P159" s="166">
        <v>230.73453608247434</v>
      </c>
      <c r="Q159" s="168">
        <v>193.42783505154645</v>
      </c>
    </row>
    <row r="160" spans="2:17" ht="15">
      <c r="B160" s="21">
        <v>68</v>
      </c>
      <c r="C160" s="129">
        <f aca="true" t="shared" si="43" ref="C160:C166">6.25*B160-190.33</f>
        <v>234.67</v>
      </c>
      <c r="D160" s="122">
        <f t="shared" si="40"/>
        <v>198</v>
      </c>
      <c r="E160" s="124">
        <f t="shared" si="41"/>
        <v>171</v>
      </c>
      <c r="J160" s="246">
        <f t="shared" si="42"/>
        <v>226.8461340206186</v>
      </c>
      <c r="K160" s="246">
        <f t="shared" si="42"/>
        <v>189.92016036655218</v>
      </c>
      <c r="L160" s="246">
        <f t="shared" si="42"/>
        <v>159.21260022909513</v>
      </c>
      <c r="N160" s="169">
        <v>80</v>
      </c>
      <c r="O160" s="171">
        <v>313.5670103092784</v>
      </c>
      <c r="P160" s="170">
        <v>262.5246277205041</v>
      </c>
      <c r="Q160" s="172">
        <v>220.07789232531502</v>
      </c>
    </row>
    <row r="161" spans="2:17" ht="15">
      <c r="B161" s="23">
        <v>72</v>
      </c>
      <c r="C161" s="130">
        <f t="shared" si="43"/>
        <v>259.66999999999996</v>
      </c>
      <c r="D161" s="125">
        <f t="shared" si="40"/>
        <v>219</v>
      </c>
      <c r="E161" s="127">
        <f t="shared" si="41"/>
        <v>189</v>
      </c>
      <c r="J161" s="246">
        <f t="shared" si="42"/>
        <v>254.28324742268046</v>
      </c>
      <c r="K161" s="246">
        <f t="shared" si="42"/>
        <v>212.89106529209633</v>
      </c>
      <c r="L161" s="246">
        <f t="shared" si="42"/>
        <v>178.4694158075602</v>
      </c>
      <c r="N161" s="173">
        <v>85</v>
      </c>
      <c r="O161" s="175">
        <v>353.98775773195877</v>
      </c>
      <c r="P161" s="174">
        <v>296.36569301260033</v>
      </c>
      <c r="Q161" s="176">
        <v>248.44730813287518</v>
      </c>
    </row>
    <row r="162" spans="2:17" ht="15">
      <c r="B162" s="21">
        <v>76</v>
      </c>
      <c r="C162" s="129">
        <f t="shared" si="43"/>
        <v>284.66999999999996</v>
      </c>
      <c r="D162" s="122">
        <f t="shared" si="40"/>
        <v>240</v>
      </c>
      <c r="E162" s="124">
        <f t="shared" si="41"/>
        <v>207</v>
      </c>
      <c r="J162" s="246">
        <f t="shared" si="42"/>
        <v>283.19020618556704</v>
      </c>
      <c r="K162" s="246">
        <f t="shared" si="42"/>
        <v>237.09255441008028</v>
      </c>
      <c r="L162" s="246">
        <f t="shared" si="42"/>
        <v>198.75784650630015</v>
      </c>
      <c r="N162" s="169">
        <v>90</v>
      </c>
      <c r="O162" s="171">
        <v>396.8582474226804</v>
      </c>
      <c r="P162" s="170">
        <v>332.257731958763</v>
      </c>
      <c r="Q162" s="172">
        <v>278.5360824742268</v>
      </c>
    </row>
    <row r="163" spans="2:17" ht="15">
      <c r="B163" s="23">
        <v>80</v>
      </c>
      <c r="C163" s="130">
        <f t="shared" si="43"/>
        <v>309.66999999999996</v>
      </c>
      <c r="D163" s="125">
        <f t="shared" si="40"/>
        <v>261</v>
      </c>
      <c r="E163" s="127">
        <f t="shared" si="41"/>
        <v>225</v>
      </c>
      <c r="J163" s="246">
        <f t="shared" si="42"/>
        <v>313.5670103092784</v>
      </c>
      <c r="K163" s="246">
        <f t="shared" si="42"/>
        <v>262.5246277205041</v>
      </c>
      <c r="L163" s="246">
        <f t="shared" si="42"/>
        <v>220.07789232531502</v>
      </c>
      <c r="N163" s="173">
        <v>95</v>
      </c>
      <c r="O163" s="175">
        <v>442.17847938144314</v>
      </c>
      <c r="P163" s="174">
        <v>370.200744558992</v>
      </c>
      <c r="Q163" s="176">
        <v>310.34421534936996</v>
      </c>
    </row>
    <row r="164" spans="2:17" ht="15">
      <c r="B164" s="21">
        <v>84</v>
      </c>
      <c r="C164" s="129">
        <f t="shared" si="43"/>
        <v>334.66999999999996</v>
      </c>
      <c r="D164" s="122">
        <f t="shared" si="40"/>
        <v>282</v>
      </c>
      <c r="E164" s="124">
        <f t="shared" si="41"/>
        <v>243</v>
      </c>
      <c r="J164" s="246">
        <f aca="true" t="shared" si="44" ref="J164:L166">IF($B164=$N160,O160,(O161-O160)/($N161-$N160)*($B164-$N160)+O160)</f>
        <v>345.9036082474227</v>
      </c>
      <c r="K164" s="246">
        <f t="shared" si="44"/>
        <v>289.5974799541811</v>
      </c>
      <c r="L164" s="246">
        <f t="shared" si="44"/>
        <v>242.77342497136314</v>
      </c>
      <c r="N164" s="169">
        <v>100</v>
      </c>
      <c r="O164" s="171">
        <v>489.94845360824723</v>
      </c>
      <c r="P164" s="170">
        <v>410.1947308132876</v>
      </c>
      <c r="Q164" s="172">
        <v>343.8717067583047</v>
      </c>
    </row>
    <row r="165" spans="2:17" ht="15">
      <c r="B165" s="23">
        <v>88</v>
      </c>
      <c r="C165" s="130">
        <f t="shared" si="43"/>
        <v>359.66999999999996</v>
      </c>
      <c r="D165" s="125">
        <f t="shared" si="40"/>
        <v>303</v>
      </c>
      <c r="E165" s="127">
        <f t="shared" si="41"/>
        <v>261</v>
      </c>
      <c r="J165" s="246">
        <f t="shared" si="44"/>
        <v>379.71005154639175</v>
      </c>
      <c r="K165" s="246">
        <f t="shared" si="44"/>
        <v>317.90091638029793</v>
      </c>
      <c r="L165" s="246">
        <f t="shared" si="44"/>
        <v>266.5005727376862</v>
      </c>
      <c r="N165" s="173">
        <v>105</v>
      </c>
      <c r="O165" s="175"/>
      <c r="P165" s="174"/>
      <c r="Q165" s="176"/>
    </row>
    <row r="166" spans="2:17" ht="15.75" thickBot="1">
      <c r="B166" s="25">
        <v>92</v>
      </c>
      <c r="C166" s="198">
        <f t="shared" si="43"/>
        <v>384.66999999999996</v>
      </c>
      <c r="D166" s="139">
        <f t="shared" si="40"/>
        <v>324</v>
      </c>
      <c r="E166" s="141">
        <f t="shared" si="41"/>
        <v>279</v>
      </c>
      <c r="J166" s="246">
        <f t="shared" si="44"/>
        <v>414.9863402061855</v>
      </c>
      <c r="K166" s="246">
        <f t="shared" si="44"/>
        <v>347.4349369988546</v>
      </c>
      <c r="L166" s="246">
        <f t="shared" si="44"/>
        <v>291.25933562428406</v>
      </c>
      <c r="N166" s="180">
        <v>110</v>
      </c>
      <c r="O166" s="187"/>
      <c r="P166" s="181"/>
      <c r="Q166" s="183"/>
    </row>
    <row r="167" ht="13.5" thickBot="1"/>
    <row r="168" spans="2:17" ht="12.75">
      <c r="B168" s="5"/>
      <c r="C168" s="7"/>
      <c r="D168" s="7"/>
      <c r="E168" s="52"/>
      <c r="N168" s="142"/>
      <c r="O168" s="145"/>
      <c r="P168" s="145"/>
      <c r="Q168" s="146"/>
    </row>
    <row r="169" spans="2:17" ht="15.75">
      <c r="B169" s="10"/>
      <c r="C169" s="91" t="s">
        <v>22</v>
      </c>
      <c r="D169" s="94"/>
      <c r="E169" s="95"/>
      <c r="J169" s="269" t="s">
        <v>73</v>
      </c>
      <c r="K169" s="270"/>
      <c r="L169" s="270"/>
      <c r="N169" s="147"/>
      <c r="O169" s="192" t="s">
        <v>22</v>
      </c>
      <c r="P169" s="195"/>
      <c r="Q169" s="196"/>
    </row>
    <row r="170" spans="2:17" ht="12.75">
      <c r="B170" s="12" t="s">
        <v>4</v>
      </c>
      <c r="C170" s="69" t="s">
        <v>13</v>
      </c>
      <c r="D170" s="31" t="s">
        <v>14</v>
      </c>
      <c r="E170" s="53" t="s">
        <v>15</v>
      </c>
      <c r="J170" s="245" t="s">
        <v>13</v>
      </c>
      <c r="K170" s="245" t="s">
        <v>14</v>
      </c>
      <c r="L170" s="245" t="s">
        <v>15</v>
      </c>
      <c r="N170" s="151" t="s">
        <v>4</v>
      </c>
      <c r="O170" s="197" t="s">
        <v>13</v>
      </c>
      <c r="P170" s="152" t="s">
        <v>14</v>
      </c>
      <c r="Q170" s="153" t="s">
        <v>15</v>
      </c>
    </row>
    <row r="171" spans="2:17" ht="13.5" thickBot="1">
      <c r="B171" s="68" t="s">
        <v>16</v>
      </c>
      <c r="C171" s="14" t="s">
        <v>17</v>
      </c>
      <c r="D171" s="13" t="s">
        <v>17</v>
      </c>
      <c r="E171" s="54" t="s">
        <v>17</v>
      </c>
      <c r="N171" s="189" t="s">
        <v>16</v>
      </c>
      <c r="O171" s="155" t="s">
        <v>17</v>
      </c>
      <c r="P171" s="154" t="s">
        <v>17</v>
      </c>
      <c r="Q171" s="156" t="s">
        <v>17</v>
      </c>
    </row>
    <row r="172" spans="2:17" ht="15">
      <c r="B172" s="15">
        <v>8</v>
      </c>
      <c r="C172" s="70">
        <v>0</v>
      </c>
      <c r="D172" s="16">
        <v>0</v>
      </c>
      <c r="E172" s="55">
        <v>0</v>
      </c>
      <c r="N172" s="157">
        <v>5</v>
      </c>
      <c r="O172" s="159">
        <v>0</v>
      </c>
      <c r="P172" s="158">
        <v>0</v>
      </c>
      <c r="Q172" s="160">
        <v>0</v>
      </c>
    </row>
    <row r="173" spans="2:17" ht="15">
      <c r="B173" s="17">
        <v>12</v>
      </c>
      <c r="C173" s="71">
        <v>0</v>
      </c>
      <c r="D173" s="18">
        <v>0</v>
      </c>
      <c r="E173" s="56">
        <v>0</v>
      </c>
      <c r="J173" s="246">
        <f aca="true" t="shared" si="45" ref="J173:L175">IF($B173=$N173,O173,(O174-O173)/($N174-$N173)*($B173-$N173)+O173)</f>
        <v>0.5176242875793454</v>
      </c>
      <c r="K173" s="246">
        <f t="shared" si="45"/>
        <v>0.32972069283752753</v>
      </c>
      <c r="L173" s="246">
        <f t="shared" si="45"/>
        <v>0.3257696011344708</v>
      </c>
      <c r="N173" s="161">
        <v>10</v>
      </c>
      <c r="O173" s="163">
        <v>0.13878865979381444</v>
      </c>
      <c r="P173" s="162">
        <v>0.053930412371134016</v>
      </c>
      <c r="Q173" s="164">
        <v>0.053930412371134016</v>
      </c>
    </row>
    <row r="174" spans="2:17" ht="15">
      <c r="B174" s="19">
        <v>16</v>
      </c>
      <c r="C174" s="72">
        <v>1</v>
      </c>
      <c r="D174" s="20">
        <v>1</v>
      </c>
      <c r="E174" s="57">
        <v>1</v>
      </c>
      <c r="J174" s="246">
        <f t="shared" si="45"/>
        <v>1.7128021834061136</v>
      </c>
      <c r="K174" s="246">
        <f t="shared" si="45"/>
        <v>1.2757998908296941</v>
      </c>
      <c r="L174" s="246">
        <f t="shared" si="45"/>
        <v>1.2314782629791363</v>
      </c>
      <c r="N174" s="165">
        <v>15</v>
      </c>
      <c r="O174" s="167">
        <v>1.0858777292576418</v>
      </c>
      <c r="P174" s="166">
        <v>0.7434061135371179</v>
      </c>
      <c r="Q174" s="168">
        <v>0.733528384279476</v>
      </c>
    </row>
    <row r="175" spans="2:17" ht="15">
      <c r="B175" s="17">
        <v>20</v>
      </c>
      <c r="C175" s="71">
        <v>4</v>
      </c>
      <c r="D175" s="18">
        <v>4</v>
      </c>
      <c r="E175" s="56">
        <v>3</v>
      </c>
      <c r="J175" s="246">
        <f t="shared" si="45"/>
        <v>4.2205</v>
      </c>
      <c r="K175" s="246">
        <f t="shared" si="45"/>
        <v>3.405375</v>
      </c>
      <c r="L175" s="246">
        <f t="shared" si="45"/>
        <v>3.223277777777778</v>
      </c>
      <c r="N175" s="161">
        <v>20</v>
      </c>
      <c r="O175" s="163">
        <v>4.2205</v>
      </c>
      <c r="P175" s="162">
        <v>3.405375</v>
      </c>
      <c r="Q175" s="164">
        <v>3.223277777777778</v>
      </c>
    </row>
    <row r="176" spans="2:17" ht="15">
      <c r="B176" s="19">
        <v>24</v>
      </c>
      <c r="C176" s="72">
        <v>11</v>
      </c>
      <c r="D176" s="20">
        <v>9</v>
      </c>
      <c r="E176" s="57">
        <v>8</v>
      </c>
      <c r="J176" s="246">
        <f aca="true" t="shared" si="46" ref="J176:L180">IF($B176=$N175,O175,(O176-O175)/($N176-$N175)*($B176-$N175)+O175)</f>
        <v>11.183598973305955</v>
      </c>
      <c r="K176" s="246">
        <f t="shared" si="46"/>
        <v>9.292688963039014</v>
      </c>
      <c r="L176" s="246">
        <f t="shared" si="46"/>
        <v>8.391398882044262</v>
      </c>
      <c r="N176" s="165">
        <v>25</v>
      </c>
      <c r="O176" s="167">
        <v>12.924373716632443</v>
      </c>
      <c r="P176" s="166">
        <v>10.764517453798767</v>
      </c>
      <c r="Q176" s="168">
        <v>9.683429158110883</v>
      </c>
    </row>
    <row r="177" spans="2:17" ht="15">
      <c r="B177" s="21">
        <v>28</v>
      </c>
      <c r="C177" s="73">
        <v>22</v>
      </c>
      <c r="D177" s="22">
        <v>18</v>
      </c>
      <c r="E177" s="58">
        <v>15</v>
      </c>
      <c r="J177" s="246">
        <f t="shared" si="46"/>
        <v>20.73688983753017</v>
      </c>
      <c r="K177" s="246">
        <f t="shared" si="46"/>
        <v>17.250649086782666</v>
      </c>
      <c r="L177" s="246">
        <f t="shared" si="46"/>
        <v>15.206757628156632</v>
      </c>
      <c r="N177" s="169">
        <v>30</v>
      </c>
      <c r="O177" s="171">
        <v>25.945233918128658</v>
      </c>
      <c r="P177" s="170">
        <v>21.574736842105263</v>
      </c>
      <c r="Q177" s="172">
        <v>18.888976608187132</v>
      </c>
    </row>
    <row r="178" spans="2:17" ht="15">
      <c r="B178" s="23">
        <v>32</v>
      </c>
      <c r="C178" s="74">
        <v>36</v>
      </c>
      <c r="D178" s="24">
        <v>30</v>
      </c>
      <c r="E178" s="59">
        <v>26</v>
      </c>
      <c r="J178" s="246">
        <f t="shared" si="46"/>
        <v>32.53420354790322</v>
      </c>
      <c r="K178" s="246">
        <f t="shared" si="46"/>
        <v>27.09722872236353</v>
      </c>
      <c r="L178" s="246">
        <f t="shared" si="46"/>
        <v>23.63145287941042</v>
      </c>
      <c r="N178" s="173">
        <v>35</v>
      </c>
      <c r="O178" s="175">
        <v>42.417657992565054</v>
      </c>
      <c r="P178" s="174">
        <v>35.380966542750926</v>
      </c>
      <c r="Q178" s="176">
        <v>30.745167286245355</v>
      </c>
    </row>
    <row r="179" spans="2:17" ht="15">
      <c r="B179" s="17">
        <v>36</v>
      </c>
      <c r="C179" s="71">
        <v>54</v>
      </c>
      <c r="D179" s="18">
        <v>45</v>
      </c>
      <c r="E179" s="56">
        <v>38</v>
      </c>
      <c r="J179" s="246">
        <f t="shared" si="46"/>
        <v>47.221069251194905</v>
      </c>
      <c r="K179" s="246">
        <f t="shared" si="46"/>
        <v>39.49293513896264</v>
      </c>
      <c r="L179" s="246">
        <f t="shared" si="46"/>
        <v>34.245143352805805</v>
      </c>
      <c r="N179" s="161">
        <v>40</v>
      </c>
      <c r="O179" s="163">
        <v>66.43471428571429</v>
      </c>
      <c r="P179" s="162">
        <v>55.94080952380952</v>
      </c>
      <c r="Q179" s="164">
        <v>48.24504761904762</v>
      </c>
    </row>
    <row r="180" spans="2:17" ht="15">
      <c r="B180" s="19">
        <v>40</v>
      </c>
      <c r="C180" s="72">
        <v>75</v>
      </c>
      <c r="D180" s="20">
        <v>64</v>
      </c>
      <c r="E180" s="57">
        <v>54</v>
      </c>
      <c r="J180" s="246">
        <f t="shared" si="46"/>
        <v>66.43471428571429</v>
      </c>
      <c r="K180" s="246">
        <f t="shared" si="46"/>
        <v>55.94080952380952</v>
      </c>
      <c r="L180" s="246">
        <f t="shared" si="46"/>
        <v>48.24504761904762</v>
      </c>
      <c r="N180" s="165">
        <v>45</v>
      </c>
      <c r="O180" s="167">
        <v>97.98542168674699</v>
      </c>
      <c r="P180" s="166">
        <v>82.57132530120482</v>
      </c>
      <c r="Q180" s="168">
        <v>70.51584337349396</v>
      </c>
    </row>
    <row r="181" spans="2:17" ht="15">
      <c r="B181" s="21">
        <v>44</v>
      </c>
      <c r="C181" s="73">
        <v>100</v>
      </c>
      <c r="D181" s="22">
        <v>84</v>
      </c>
      <c r="E181" s="58">
        <v>68</v>
      </c>
      <c r="J181" s="246">
        <f aca="true" t="shared" si="47" ref="J181:L185">IF($B181=N179,O179,(O180-O179)/($N180-$N179)*($B181-$N179)+O179)</f>
        <v>91.67528020654045</v>
      </c>
      <c r="K181" s="246">
        <f t="shared" si="47"/>
        <v>77.24522214572576</v>
      </c>
      <c r="L181" s="246">
        <f t="shared" si="47"/>
        <v>66.0616842226047</v>
      </c>
      <c r="N181" s="169">
        <v>50</v>
      </c>
      <c r="O181" s="171">
        <v>124.35369863013699</v>
      </c>
      <c r="P181" s="170">
        <v>104.70171232876713</v>
      </c>
      <c r="Q181" s="172">
        <v>87.68205479452055</v>
      </c>
    </row>
    <row r="182" spans="2:17" ht="15">
      <c r="B182" s="23">
        <v>48</v>
      </c>
      <c r="C182" s="74">
        <v>130</v>
      </c>
      <c r="D182" s="24">
        <v>110</v>
      </c>
      <c r="E182" s="59">
        <v>89</v>
      </c>
      <c r="J182" s="246">
        <f t="shared" si="47"/>
        <v>113.80638785278099</v>
      </c>
      <c r="K182" s="246">
        <f t="shared" si="47"/>
        <v>95.8495575177422</v>
      </c>
      <c r="L182" s="246">
        <f t="shared" si="47"/>
        <v>80.81557022610991</v>
      </c>
      <c r="N182" s="173">
        <v>55</v>
      </c>
      <c r="O182" s="175">
        <v>158.53620437956204</v>
      </c>
      <c r="P182" s="174">
        <v>132.60226277372263</v>
      </c>
      <c r="Q182" s="176">
        <v>109.73459854014598</v>
      </c>
    </row>
    <row r="183" spans="2:17" ht="15.75" thickBot="1">
      <c r="B183" s="25">
        <v>52</v>
      </c>
      <c r="C183" s="79">
        <v>158</v>
      </c>
      <c r="D183" s="26">
        <v>134</v>
      </c>
      <c r="E183" s="60">
        <v>109</v>
      </c>
      <c r="J183" s="246">
        <f t="shared" si="47"/>
        <v>138.026700929907</v>
      </c>
      <c r="K183" s="246">
        <f t="shared" si="47"/>
        <v>115.86193250674933</v>
      </c>
      <c r="L183" s="246">
        <f t="shared" si="47"/>
        <v>96.50307229277072</v>
      </c>
      <c r="N183" s="180">
        <v>60</v>
      </c>
      <c r="O183" s="187">
        <v>200.86523076923078</v>
      </c>
      <c r="P183" s="181">
        <v>166.78269230769232</v>
      </c>
      <c r="Q183" s="183">
        <v>135.16923076923078</v>
      </c>
    </row>
    <row r="184" spans="2:17" ht="15">
      <c r="B184" s="23">
        <v>56</v>
      </c>
      <c r="C184" s="74">
        <v>194</v>
      </c>
      <c r="D184" s="24">
        <v>164</v>
      </c>
      <c r="E184" s="59">
        <v>133</v>
      </c>
      <c r="J184" s="246">
        <f t="shared" si="47"/>
        <v>167.0020096574958</v>
      </c>
      <c r="K184" s="246">
        <f t="shared" si="47"/>
        <v>139.43834868051655</v>
      </c>
      <c r="L184" s="246">
        <f t="shared" si="47"/>
        <v>114.82152498596294</v>
      </c>
      <c r="N184" s="173">
        <v>65</v>
      </c>
      <c r="O184" s="175">
        <v>235.73333333333335</v>
      </c>
      <c r="P184" s="174">
        <v>195.74027777777775</v>
      </c>
      <c r="Q184" s="176">
        <v>158.63611111111115</v>
      </c>
    </row>
    <row r="185" spans="2:17" ht="15">
      <c r="B185" s="21">
        <v>60</v>
      </c>
      <c r="C185" s="73">
        <v>227</v>
      </c>
      <c r="D185" s="22">
        <v>192</v>
      </c>
      <c r="E185" s="58">
        <v>156</v>
      </c>
      <c r="J185" s="246">
        <f t="shared" si="47"/>
        <v>200.86523076923078</v>
      </c>
      <c r="K185" s="246">
        <f t="shared" si="47"/>
        <v>166.78269230769232</v>
      </c>
      <c r="L185" s="246">
        <f t="shared" si="47"/>
        <v>135.16923076923078</v>
      </c>
      <c r="N185" s="169">
        <v>70</v>
      </c>
      <c r="O185" s="171">
        <v>273.39487179487185</v>
      </c>
      <c r="P185" s="170">
        <v>227.01239316239318</v>
      </c>
      <c r="Q185" s="172">
        <v>183.98034188034197</v>
      </c>
    </row>
    <row r="186" spans="2:17" ht="15">
      <c r="B186" s="23">
        <v>64</v>
      </c>
      <c r="C186" s="74">
        <v>270</v>
      </c>
      <c r="D186" s="24">
        <v>229</v>
      </c>
      <c r="E186" s="59">
        <v>185</v>
      </c>
      <c r="J186" s="246">
        <f aca="true" t="shared" si="48" ref="J186:L190">IF($B186=$N183,O183,(O184-O183)/($N184-$N183)*($B186-$N183)+O183)</f>
        <v>228.75971282051285</v>
      </c>
      <c r="K186" s="246">
        <f t="shared" si="48"/>
        <v>189.94876068376067</v>
      </c>
      <c r="L186" s="246">
        <f t="shared" si="48"/>
        <v>153.94273504273508</v>
      </c>
      <c r="N186" s="173">
        <v>75</v>
      </c>
      <c r="O186" s="175">
        <v>313.84615384615387</v>
      </c>
      <c r="P186" s="174">
        <v>260.6009615384616</v>
      </c>
      <c r="Q186" s="176">
        <v>211.20192307692318</v>
      </c>
    </row>
    <row r="187" spans="2:17" ht="15">
      <c r="B187" s="21">
        <v>68</v>
      </c>
      <c r="C187" s="129">
        <f>9.5*B187-339.67</f>
        <v>306.33</v>
      </c>
      <c r="D187" s="122">
        <f>8.125*B187-292.5</f>
        <v>260</v>
      </c>
      <c r="E187" s="124">
        <f>6.5*B187-232</f>
        <v>210</v>
      </c>
      <c r="J187" s="246">
        <f t="shared" si="48"/>
        <v>258.3302564102564</v>
      </c>
      <c r="K187" s="246">
        <f t="shared" si="48"/>
        <v>214.503547008547</v>
      </c>
      <c r="L187" s="246">
        <f t="shared" si="48"/>
        <v>173.84264957264963</v>
      </c>
      <c r="N187" s="169">
        <v>80</v>
      </c>
      <c r="O187" s="171">
        <v>357.0871794871794</v>
      </c>
      <c r="P187" s="170">
        <v>296.505982905983</v>
      </c>
      <c r="Q187" s="172">
        <v>240.30085470085476</v>
      </c>
    </row>
    <row r="188" spans="2:17" ht="15">
      <c r="B188" s="23">
        <v>72</v>
      </c>
      <c r="C188" s="130">
        <f aca="true" t="shared" si="49" ref="C188:C193">9.5*B188-339.67</f>
        <v>344.33</v>
      </c>
      <c r="D188" s="125">
        <f aca="true" t="shared" si="50" ref="D188:D193">8.125*B188-292.5</f>
        <v>292.5</v>
      </c>
      <c r="E188" s="127">
        <f aca="true" t="shared" si="51" ref="E188:E193">6.5*B188-232</f>
        <v>236</v>
      </c>
      <c r="J188" s="246">
        <f t="shared" si="48"/>
        <v>289.5753846153847</v>
      </c>
      <c r="K188" s="246">
        <f t="shared" si="48"/>
        <v>240.44782051282056</v>
      </c>
      <c r="L188" s="246">
        <f t="shared" si="48"/>
        <v>194.86897435897444</v>
      </c>
      <c r="N188" s="173">
        <v>85</v>
      </c>
      <c r="O188" s="175">
        <v>403.1179487179486</v>
      </c>
      <c r="P188" s="174">
        <v>334.7274572649574</v>
      </c>
      <c r="Q188" s="176">
        <v>271.2771367521368</v>
      </c>
    </row>
    <row r="189" spans="2:17" ht="15">
      <c r="B189" s="21">
        <v>76</v>
      </c>
      <c r="C189" s="129">
        <f t="shared" si="49"/>
        <v>382.33</v>
      </c>
      <c r="D189" s="122">
        <f t="shared" si="50"/>
        <v>325</v>
      </c>
      <c r="E189" s="124">
        <f t="shared" si="51"/>
        <v>262</v>
      </c>
      <c r="J189" s="246">
        <f t="shared" si="48"/>
        <v>322.494358974359</v>
      </c>
      <c r="K189" s="246">
        <f t="shared" si="48"/>
        <v>267.7819658119659</v>
      </c>
      <c r="L189" s="246">
        <f t="shared" si="48"/>
        <v>217.0217094017095</v>
      </c>
      <c r="N189" s="169">
        <v>90</v>
      </c>
      <c r="O189" s="171">
        <v>451.93846153846135</v>
      </c>
      <c r="P189" s="170">
        <v>375.26538461538473</v>
      </c>
      <c r="Q189" s="172">
        <v>304.1307692307693</v>
      </c>
    </row>
    <row r="190" spans="2:17" ht="15">
      <c r="B190" s="23">
        <v>80</v>
      </c>
      <c r="C190" s="130">
        <f t="shared" si="49"/>
        <v>420.33</v>
      </c>
      <c r="D190" s="125">
        <f t="shared" si="50"/>
        <v>357.5</v>
      </c>
      <c r="E190" s="127">
        <f t="shared" si="51"/>
        <v>288</v>
      </c>
      <c r="J190" s="246">
        <f t="shared" si="48"/>
        <v>357.0871794871794</v>
      </c>
      <c r="K190" s="246">
        <f t="shared" si="48"/>
        <v>296.505982905983</v>
      </c>
      <c r="L190" s="246">
        <f t="shared" si="48"/>
        <v>240.30085470085476</v>
      </c>
      <c r="N190" s="173">
        <v>95</v>
      </c>
      <c r="O190" s="175">
        <v>503.5487179487176</v>
      </c>
      <c r="P190" s="174">
        <v>418.119764957265</v>
      </c>
      <c r="Q190" s="176">
        <v>338.86175213675216</v>
      </c>
    </row>
    <row r="191" spans="2:17" ht="15">
      <c r="B191" s="21">
        <v>84</v>
      </c>
      <c r="C191" s="129">
        <f t="shared" si="49"/>
        <v>458.33</v>
      </c>
      <c r="D191" s="122">
        <f t="shared" si="50"/>
        <v>390</v>
      </c>
      <c r="E191" s="124">
        <f t="shared" si="51"/>
        <v>314</v>
      </c>
      <c r="J191" s="246">
        <f aca="true" t="shared" si="52" ref="J191:L193">IF($B191=$N187,O187,(O188-O187)/($N188-$N187)*($B191-$N187)+O187)</f>
        <v>393.91179487179477</v>
      </c>
      <c r="K191" s="246">
        <f t="shared" si="52"/>
        <v>327.0831623931625</v>
      </c>
      <c r="L191" s="246">
        <f t="shared" si="52"/>
        <v>265.0818803418804</v>
      </c>
      <c r="N191" s="169">
        <v>100</v>
      </c>
      <c r="O191" s="171">
        <v>557.9487179487176</v>
      </c>
      <c r="P191" s="170">
        <v>463.2905982905982</v>
      </c>
      <c r="Q191" s="172">
        <v>375.4700854700855</v>
      </c>
    </row>
    <row r="192" spans="2:17" ht="15">
      <c r="B192" s="23">
        <v>88</v>
      </c>
      <c r="C192" s="130">
        <f t="shared" si="49"/>
        <v>496.33</v>
      </c>
      <c r="D192" s="125">
        <f t="shared" si="50"/>
        <v>422.5</v>
      </c>
      <c r="E192" s="127">
        <f t="shared" si="51"/>
        <v>340</v>
      </c>
      <c r="J192" s="246">
        <f t="shared" si="52"/>
        <v>432.41025641025624</v>
      </c>
      <c r="K192" s="246">
        <f t="shared" si="52"/>
        <v>359.0502136752138</v>
      </c>
      <c r="L192" s="246">
        <f t="shared" si="52"/>
        <v>290.98931623931634</v>
      </c>
      <c r="N192" s="173">
        <v>105</v>
      </c>
      <c r="O192" s="175"/>
      <c r="P192" s="174"/>
      <c r="Q192" s="176"/>
    </row>
    <row r="193" spans="2:17" ht="15.75" thickBot="1">
      <c r="B193" s="25">
        <v>92</v>
      </c>
      <c r="C193" s="198">
        <f t="shared" si="49"/>
        <v>534.3299999999999</v>
      </c>
      <c r="D193" s="139">
        <f t="shared" si="50"/>
        <v>455</v>
      </c>
      <c r="E193" s="141">
        <f t="shared" si="51"/>
        <v>366</v>
      </c>
      <c r="J193" s="246">
        <f t="shared" si="52"/>
        <v>472.5825641025638</v>
      </c>
      <c r="K193" s="246">
        <f t="shared" si="52"/>
        <v>392.4071367521368</v>
      </c>
      <c r="L193" s="246">
        <f t="shared" si="52"/>
        <v>318.02316239316247</v>
      </c>
      <c r="N193" s="180">
        <v>110</v>
      </c>
      <c r="O193" s="187"/>
      <c r="P193" s="181"/>
      <c r="Q193" s="183"/>
    </row>
  </sheetData>
  <sheetProtection/>
  <mergeCells count="9">
    <mergeCell ref="J115:L115"/>
    <mergeCell ref="J142:L142"/>
    <mergeCell ref="J169:L169"/>
    <mergeCell ref="B2:I2"/>
    <mergeCell ref="B3:I3"/>
    <mergeCell ref="J7:L7"/>
    <mergeCell ref="J34:L34"/>
    <mergeCell ref="J61:L61"/>
    <mergeCell ref="J88:L88"/>
  </mergeCells>
  <printOptions/>
  <pageMargins left="0.787401575" right="0.787401575" top="1.42" bottom="0.984251969" header="0.4921259845" footer="0.4921259845"/>
  <pageSetup horizontalDpi="300" verticalDpi="300" orientation="portrait" paperSize="9" r:id="rId1"/>
  <headerFooter alignWithMargins="0">
    <oddHeader>&amp;L
&amp;"MS Sans Serif,Fett"&amp;12E I N Z E L B A U M - S C H Ä T Z T A B E L L E N&amp;C&amp;"Arial,Fett"&amp;P+1&amp;"Arial,Standard" - &amp;N+1&amp;R&amp;"Arial,Standard"Anlage 3.2.1
vgl. WBR 2008 Nr. 26</oddHeader>
    <oddFooter>&amp;LDruck 7/09</oddFooter>
  </headerFooter>
  <rowBreaks count="2" manualBreakCount="2">
    <brk id="53" max="255" man="1"/>
    <brk id="10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K34"/>
  <sheetViews>
    <sheetView showGridLines="0" zoomScalePageLayoutView="0" workbookViewId="0" topLeftCell="A1">
      <selection activeCell="D47" sqref="D47"/>
    </sheetView>
  </sheetViews>
  <sheetFormatPr defaultColWidth="11.421875" defaultRowHeight="12.75"/>
  <cols>
    <col min="1" max="1" width="6.8515625" style="0" customWidth="1"/>
    <col min="2" max="2" width="6.7109375" style="0" customWidth="1"/>
    <col min="3" max="11" width="14.00390625" style="0" customWidth="1"/>
  </cols>
  <sheetData>
    <row r="2" spans="2:11" ht="56.25" customHeight="1">
      <c r="B2" s="273" t="s">
        <v>44</v>
      </c>
      <c r="C2" s="273"/>
      <c r="D2" s="273"/>
      <c r="E2" s="273"/>
      <c r="F2" s="273"/>
      <c r="G2" s="273"/>
      <c r="H2" s="273"/>
      <c r="I2" s="273"/>
      <c r="J2" s="273"/>
      <c r="K2" s="273"/>
    </row>
    <row r="3" ht="13.5" thickBot="1"/>
    <row r="4" spans="2:11" s="35" customFormat="1" ht="20.25" customHeight="1" thickBot="1">
      <c r="B4" s="51"/>
      <c r="C4" s="49" t="s">
        <v>1</v>
      </c>
      <c r="D4" s="40" t="s">
        <v>24</v>
      </c>
      <c r="E4" s="40" t="s">
        <v>26</v>
      </c>
      <c r="F4" s="40" t="s">
        <v>25</v>
      </c>
      <c r="G4" s="40" t="s">
        <v>23</v>
      </c>
      <c r="H4" s="40" t="s">
        <v>27</v>
      </c>
      <c r="I4" s="40" t="s">
        <v>28</v>
      </c>
      <c r="J4" s="40" t="s">
        <v>29</v>
      </c>
      <c r="K4" s="41" t="s">
        <v>30</v>
      </c>
    </row>
    <row r="5" spans="2:11" ht="12.75">
      <c r="B5" s="50" t="s">
        <v>31</v>
      </c>
      <c r="C5" s="42">
        <v>2.0837</v>
      </c>
      <c r="D5" s="43">
        <v>2.6618</v>
      </c>
      <c r="E5" s="43">
        <v>0.3234</v>
      </c>
      <c r="F5" s="43">
        <v>17.372</v>
      </c>
      <c r="G5" s="43">
        <v>1.2644</v>
      </c>
      <c r="H5" s="43">
        <v>1.2783</v>
      </c>
      <c r="I5" s="43">
        <v>2.919</v>
      </c>
      <c r="J5" s="43">
        <v>3.6962</v>
      </c>
      <c r="K5" s="44">
        <v>2.3805</v>
      </c>
    </row>
    <row r="6" spans="2:11" ht="12.75">
      <c r="B6" s="47" t="s">
        <v>32</v>
      </c>
      <c r="C6" s="45">
        <v>0.15</v>
      </c>
      <c r="D6" s="36">
        <v>0.1152</v>
      </c>
      <c r="E6" s="36">
        <v>0.206</v>
      </c>
      <c r="F6" s="36">
        <v>-0.0646</v>
      </c>
      <c r="G6" s="36">
        <v>0.1072</v>
      </c>
      <c r="H6" s="36">
        <v>0.11388</v>
      </c>
      <c r="I6" s="36">
        <v>0.0939</v>
      </c>
      <c r="J6" s="36">
        <v>0.0762</v>
      </c>
      <c r="K6" s="37">
        <v>0.1073</v>
      </c>
    </row>
    <row r="7" spans="2:11" ht="12.75">
      <c r="B7" s="47" t="s">
        <v>33</v>
      </c>
      <c r="C7" s="45">
        <v>5.7292</v>
      </c>
      <c r="D7" s="36">
        <v>8.3381</v>
      </c>
      <c r="E7" s="36">
        <v>1E-06</v>
      </c>
      <c r="F7" s="36">
        <v>45.371</v>
      </c>
      <c r="G7" s="36">
        <v>1E-06</v>
      </c>
      <c r="H7" s="36">
        <v>8.70522</v>
      </c>
      <c r="I7" s="36">
        <v>10.0161</v>
      </c>
      <c r="J7" s="36">
        <v>21.8046</v>
      </c>
      <c r="K7" s="37">
        <v>1E-06</v>
      </c>
    </row>
    <row r="8" spans="2:11" ht="13.5" thickBot="1">
      <c r="B8" s="48" t="s">
        <v>34</v>
      </c>
      <c r="C8" s="46">
        <v>1.3341</v>
      </c>
      <c r="D8" s="38">
        <v>1.4083</v>
      </c>
      <c r="E8" s="38">
        <v>1</v>
      </c>
      <c r="F8" s="38">
        <v>1.238</v>
      </c>
      <c r="G8" s="38">
        <v>1</v>
      </c>
      <c r="H8" s="38">
        <v>1.33944</v>
      </c>
      <c r="I8" s="38">
        <v>1.362</v>
      </c>
      <c r="J8" s="38">
        <v>1.53</v>
      </c>
      <c r="K8" s="39">
        <v>1</v>
      </c>
    </row>
    <row r="34" ht="12.75">
      <c r="E34" s="2"/>
    </row>
  </sheetData>
  <sheetProtection sheet="1" objects="1" scenarios="1"/>
  <mergeCells count="1">
    <mergeCell ref="B2:K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Abteilung für Forstökonomie und Forsteinrichtung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Einzelbaumbewertung für den Vertragsnaturschutz</dc:title>
  <dc:subject/>
  <dc:creator>André Strugholtz</dc:creator>
  <cp:keywords/>
  <dc:description/>
  <cp:lastModifiedBy>Sabrina Kloock</cp:lastModifiedBy>
  <cp:lastPrinted>2009-06-09T15:43:53Z</cp:lastPrinted>
  <dcterms:created xsi:type="dcterms:W3CDTF">2001-07-02T09:51:03Z</dcterms:created>
  <dcterms:modified xsi:type="dcterms:W3CDTF">2020-12-01T08:47:03Z</dcterms:modified>
  <cp:category/>
  <cp:version/>
  <cp:contentType/>
  <cp:contentStatus/>
</cp:coreProperties>
</file>